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735" windowWidth="28800" windowHeight="4560" tabRatio="632"/>
  </bookViews>
  <sheets>
    <sheet name="среднегодовая на 2025 под факт" sheetId="219" r:id="rId1"/>
    <sheet name="инообластные на 2025 под факт" sheetId="220" r:id="rId2"/>
    <sheet name="сред-я с инообл. с 01.12. 2025" sheetId="221" r:id="rId3"/>
  </sheets>
  <calcPr calcId="144525"/>
  <fileRecoveryPr autoRecover="0"/>
</workbook>
</file>

<file path=xl/calcChain.xml><?xml version="1.0" encoding="utf-8"?>
<calcChain xmlns="http://schemas.openxmlformats.org/spreadsheetml/2006/main">
  <c r="AT115" i="219" l="1"/>
  <c r="AT114" i="219" s="1"/>
  <c r="AR114" i="219"/>
  <c r="AR115" i="219"/>
  <c r="AQ114" i="219"/>
  <c r="AO114" i="219"/>
  <c r="M5" i="219" l="1"/>
  <c r="AE5" i="219"/>
  <c r="AC5" i="219"/>
  <c r="AM22" i="219"/>
  <c r="AP135" i="221" l="1"/>
  <c r="G89" i="219"/>
  <c r="AN30" i="221"/>
  <c r="AN31" i="221"/>
  <c r="AN32" i="221"/>
  <c r="AN37" i="221"/>
  <c r="AN39" i="221"/>
  <c r="AN44" i="221"/>
  <c r="AN45" i="221"/>
  <c r="AN50" i="221"/>
  <c r="AN51" i="221"/>
  <c r="AN54" i="221"/>
  <c r="AN57" i="221"/>
  <c r="AN58" i="221"/>
  <c r="AN63" i="221"/>
  <c r="AN66" i="221"/>
  <c r="AN67" i="221"/>
  <c r="AN78" i="221"/>
  <c r="AN79" i="221"/>
  <c r="AN81" i="221"/>
  <c r="AN90" i="221"/>
  <c r="AN91" i="221"/>
  <c r="AN92" i="221"/>
  <c r="AN99" i="221"/>
  <c r="AN103" i="221"/>
  <c r="AN104" i="221"/>
  <c r="AN105" i="221"/>
  <c r="AN111" i="221"/>
  <c r="AN113" i="221"/>
  <c r="AN115" i="221"/>
  <c r="AN121" i="221"/>
  <c r="AN122" i="221"/>
  <c r="AN123" i="221"/>
  <c r="AN124" i="221"/>
  <c r="AN125" i="221"/>
  <c r="AN127" i="221"/>
  <c r="AN132" i="221"/>
  <c r="AN133" i="221"/>
  <c r="AN136" i="221"/>
  <c r="AN140" i="221"/>
  <c r="AN143" i="221"/>
  <c r="AN145" i="221"/>
  <c r="AN147" i="221"/>
  <c r="AN148" i="221"/>
  <c r="AN149" i="221"/>
  <c r="AN150" i="221"/>
  <c r="AN151" i="221"/>
  <c r="AN152" i="221"/>
  <c r="AN155" i="221"/>
  <c r="AN156" i="221"/>
  <c r="AN157" i="221"/>
  <c r="AN158" i="221"/>
  <c r="AN26" i="221"/>
  <c r="AN27" i="221"/>
  <c r="E28" i="221"/>
  <c r="BC158" i="221" l="1"/>
  <c r="BC157" i="221"/>
  <c r="BC156" i="221"/>
  <c r="BC155" i="221"/>
  <c r="BC152" i="221"/>
  <c r="BC151" i="221"/>
  <c r="BC150" i="221"/>
  <c r="BC148" i="221"/>
  <c r="BC147" i="221"/>
  <c r="BC145" i="221"/>
  <c r="BC143" i="221"/>
  <c r="BC140" i="221"/>
  <c r="BC136" i="221"/>
  <c r="BC127" i="221"/>
  <c r="BC123" i="221"/>
  <c r="BC113" i="221"/>
  <c r="BC105" i="221"/>
  <c r="BC104" i="221"/>
  <c r="BC103" i="221"/>
  <c r="BC99" i="221"/>
  <c r="BC92" i="221"/>
  <c r="BC91" i="221"/>
  <c r="BC90" i="221"/>
  <c r="BC81" i="221"/>
  <c r="BC79" i="221"/>
  <c r="BC58" i="221"/>
  <c r="BC57" i="221"/>
  <c r="BC51" i="221"/>
  <c r="BC50" i="221"/>
  <c r="BC45" i="221"/>
  <c r="BC44" i="221"/>
  <c r="BC32" i="221"/>
  <c r="BC31" i="221"/>
  <c r="BC30" i="221"/>
  <c r="BC26" i="221"/>
  <c r="BC23" i="221"/>
  <c r="AQ12" i="221"/>
  <c r="AQ13" i="221"/>
  <c r="AQ22" i="221"/>
  <c r="AQ27" i="221"/>
  <c r="BC27" i="221" s="1"/>
  <c r="AR29" i="221"/>
  <c r="AT29" i="221"/>
  <c r="AU37" i="221"/>
  <c r="AV37" i="221"/>
  <c r="AW37" i="221"/>
  <c r="AX37" i="221"/>
  <c r="AX159" i="221" s="1"/>
  <c r="AY37" i="221"/>
  <c r="AY159" i="221" s="1"/>
  <c r="AZ37" i="221"/>
  <c r="AZ159" i="221" s="1"/>
  <c r="AR38" i="221"/>
  <c r="AT38" i="221"/>
  <c r="AQ39" i="221"/>
  <c r="BC39" i="221" s="1"/>
  <c r="AO41" i="221"/>
  <c r="AQ41" i="221"/>
  <c r="AR41" i="221"/>
  <c r="AT41" i="221"/>
  <c r="AO43" i="221"/>
  <c r="AQ43" i="221"/>
  <c r="AR43" i="221"/>
  <c r="AT43" i="221"/>
  <c r="AU43" i="221"/>
  <c r="AV43" i="221"/>
  <c r="AW43" i="221"/>
  <c r="AQ54" i="221"/>
  <c r="BC54" i="221" s="1"/>
  <c r="AO56" i="221"/>
  <c r="AQ56" i="221"/>
  <c r="AU56" i="221"/>
  <c r="AV56" i="221"/>
  <c r="AW56" i="221"/>
  <c r="AQ63" i="221"/>
  <c r="BC63" i="221" s="1"/>
  <c r="AR65" i="221"/>
  <c r="AT65" i="221"/>
  <c r="AO66" i="221"/>
  <c r="AQ66" i="221"/>
  <c r="BC66" i="221" s="1"/>
  <c r="AO67" i="221"/>
  <c r="AQ67" i="221"/>
  <c r="BC67" i="221" s="1"/>
  <c r="AO77" i="221"/>
  <c r="AQ77" i="221"/>
  <c r="AR77" i="221"/>
  <c r="AT77" i="221"/>
  <c r="AU77" i="221"/>
  <c r="AV77" i="221"/>
  <c r="AW77" i="221"/>
  <c r="AO78" i="221"/>
  <c r="AQ78" i="221"/>
  <c r="BC78" i="221" s="1"/>
  <c r="AR89" i="221"/>
  <c r="AT89" i="221"/>
  <c r="AU102" i="221"/>
  <c r="AV102" i="221"/>
  <c r="AW102" i="221"/>
  <c r="AQ111" i="221"/>
  <c r="BC111" i="221" s="1"/>
  <c r="AO114" i="221"/>
  <c r="AQ114" i="221"/>
  <c r="AR114" i="221"/>
  <c r="AT114" i="221"/>
  <c r="AO115" i="221"/>
  <c r="AQ115" i="221"/>
  <c r="AR115" i="221"/>
  <c r="AT115" i="221"/>
  <c r="BA124" i="221"/>
  <c r="BB124" i="221"/>
  <c r="BA125" i="221"/>
  <c r="BB125" i="221"/>
  <c r="BC125" i="221" s="1"/>
  <c r="AO131" i="221"/>
  <c r="AQ131" i="221"/>
  <c r="AO132" i="221"/>
  <c r="AQ132" i="221"/>
  <c r="BC132" i="221" s="1"/>
  <c r="AO133" i="221"/>
  <c r="AQ133" i="221"/>
  <c r="BC133" i="221" s="1"/>
  <c r="AQ135" i="221"/>
  <c r="AR135" i="221"/>
  <c r="AT135" i="221"/>
  <c r="AR149" i="221"/>
  <c r="AT149" i="221"/>
  <c r="BC149" i="221" s="1"/>
  <c r="AR5" i="221"/>
  <c r="AT5" i="221"/>
  <c r="D11" i="221"/>
  <c r="E11" i="221"/>
  <c r="AL18" i="221"/>
  <c r="AM18" i="221"/>
  <c r="AL19" i="221"/>
  <c r="AM19" i="221"/>
  <c r="AL20" i="221"/>
  <c r="AM20" i="221"/>
  <c r="AM22" i="221"/>
  <c r="AL23" i="221"/>
  <c r="AM23" i="221"/>
  <c r="G28" i="221"/>
  <c r="I28" i="221"/>
  <c r="K28" i="221"/>
  <c r="D29" i="221"/>
  <c r="E29" i="221"/>
  <c r="F29" i="221"/>
  <c r="G29" i="221"/>
  <c r="J29" i="221"/>
  <c r="K29" i="221"/>
  <c r="V29" i="221"/>
  <c r="W29" i="221"/>
  <c r="AB29" i="221"/>
  <c r="AC29" i="221"/>
  <c r="AJ29" i="221"/>
  <c r="AK29" i="221"/>
  <c r="AL35" i="221"/>
  <c r="AM35" i="221"/>
  <c r="AN35" i="221" s="1"/>
  <c r="BC35" i="221" s="1"/>
  <c r="E36" i="221"/>
  <c r="G36" i="221"/>
  <c r="I36" i="221"/>
  <c r="K36" i="221"/>
  <c r="F38" i="221"/>
  <c r="G38" i="221"/>
  <c r="AJ38" i="221"/>
  <c r="AK38" i="221"/>
  <c r="D41" i="221"/>
  <c r="E41" i="221"/>
  <c r="F41" i="221"/>
  <c r="G41" i="221"/>
  <c r="H41" i="221"/>
  <c r="I41" i="221"/>
  <c r="J41" i="221"/>
  <c r="K41" i="221"/>
  <c r="L41" i="221"/>
  <c r="M41" i="221"/>
  <c r="D43" i="221"/>
  <c r="E43" i="221"/>
  <c r="F43" i="221"/>
  <c r="G43" i="221"/>
  <c r="H43" i="221"/>
  <c r="X43" i="221"/>
  <c r="Y43" i="221"/>
  <c r="AA43" i="221"/>
  <c r="AJ43" i="221"/>
  <c r="AK43" i="221"/>
  <c r="AL46" i="221"/>
  <c r="AM46" i="221"/>
  <c r="AN46" i="221" s="1"/>
  <c r="BC46" i="221" s="1"/>
  <c r="AL47" i="221"/>
  <c r="AM47" i="221"/>
  <c r="AN47" i="221" s="1"/>
  <c r="BC47" i="221" s="1"/>
  <c r="E48" i="221"/>
  <c r="G48" i="221"/>
  <c r="I48" i="221"/>
  <c r="D49" i="221"/>
  <c r="E49" i="221"/>
  <c r="F49" i="221"/>
  <c r="G49" i="221"/>
  <c r="H49" i="221"/>
  <c r="I49" i="221"/>
  <c r="J49" i="221"/>
  <c r="K49" i="221"/>
  <c r="R49" i="221"/>
  <c r="S49" i="221"/>
  <c r="X49" i="221"/>
  <c r="Y49" i="221"/>
  <c r="AA49" i="221"/>
  <c r="AH49" i="221"/>
  <c r="AI49" i="221"/>
  <c r="AJ49" i="221"/>
  <c r="AK49" i="221"/>
  <c r="AL52" i="221"/>
  <c r="AM52" i="221"/>
  <c r="AN52" i="221" s="1"/>
  <c r="BC52" i="221" s="1"/>
  <c r="AL53" i="221"/>
  <c r="AM53" i="221"/>
  <c r="AN53" i="221" s="1"/>
  <c r="BC53" i="221" s="1"/>
  <c r="E55" i="221"/>
  <c r="G55" i="221"/>
  <c r="I55" i="221"/>
  <c r="K55" i="221"/>
  <c r="D56" i="221"/>
  <c r="E56" i="221"/>
  <c r="F56" i="221"/>
  <c r="G56" i="221"/>
  <c r="H56" i="221"/>
  <c r="I56" i="221"/>
  <c r="J56" i="221"/>
  <c r="K56" i="221"/>
  <c r="P56" i="221"/>
  <c r="Q56" i="221"/>
  <c r="R56" i="221"/>
  <c r="S56" i="221"/>
  <c r="X56" i="221"/>
  <c r="Y56" i="221"/>
  <c r="Z56" i="221"/>
  <c r="AA56" i="221"/>
  <c r="AB56" i="221"/>
  <c r="AC56" i="221"/>
  <c r="AD56" i="221"/>
  <c r="AE56" i="221"/>
  <c r="AF56" i="221"/>
  <c r="AG56" i="221"/>
  <c r="AH56" i="221"/>
  <c r="AI56" i="221"/>
  <c r="AL61" i="221"/>
  <c r="AM61" i="221"/>
  <c r="AN61" i="221" s="1"/>
  <c r="BC61" i="221" s="1"/>
  <c r="AL62" i="221"/>
  <c r="AM62" i="221"/>
  <c r="AN62" i="221" s="1"/>
  <c r="BC62" i="221" s="1"/>
  <c r="E64" i="221"/>
  <c r="G64" i="221"/>
  <c r="I64" i="221"/>
  <c r="K64" i="221"/>
  <c r="D65" i="221"/>
  <c r="E65" i="221"/>
  <c r="F65" i="221"/>
  <c r="G65" i="221"/>
  <c r="H65" i="221"/>
  <c r="J65" i="221"/>
  <c r="K65" i="221"/>
  <c r="L65" i="221"/>
  <c r="M65" i="221"/>
  <c r="R65" i="221"/>
  <c r="S65" i="221"/>
  <c r="X65" i="221"/>
  <c r="Y65" i="221"/>
  <c r="Z65" i="221"/>
  <c r="AA65" i="221"/>
  <c r="AF65" i="221"/>
  <c r="AG65" i="221"/>
  <c r="AL68" i="221"/>
  <c r="AM68" i="221"/>
  <c r="AN68" i="221" s="1"/>
  <c r="BC68" i="221" s="1"/>
  <c r="AL70" i="221"/>
  <c r="AM70" i="221"/>
  <c r="AN70" i="221" s="1"/>
  <c r="BC70" i="221" s="1"/>
  <c r="AL71" i="221"/>
  <c r="AM71" i="221"/>
  <c r="AN71" i="221" s="1"/>
  <c r="BC71" i="221" s="1"/>
  <c r="AL72" i="221"/>
  <c r="AM72" i="221"/>
  <c r="AN72" i="221" s="1"/>
  <c r="BC72" i="221" s="1"/>
  <c r="AL73" i="221"/>
  <c r="AM73" i="221"/>
  <c r="AN73" i="221" s="1"/>
  <c r="BC73" i="221" s="1"/>
  <c r="AL74" i="221"/>
  <c r="AM74" i="221"/>
  <c r="AN74" i="221" s="1"/>
  <c r="BC74" i="221" s="1"/>
  <c r="D75" i="221"/>
  <c r="E75" i="221"/>
  <c r="F75" i="221"/>
  <c r="G75" i="221"/>
  <c r="AL75" i="221"/>
  <c r="AM75" i="221"/>
  <c r="E76" i="221"/>
  <c r="G76" i="221"/>
  <c r="I76" i="221"/>
  <c r="K76" i="221"/>
  <c r="D77" i="221"/>
  <c r="E77" i="221"/>
  <c r="F77" i="221"/>
  <c r="G77" i="221"/>
  <c r="H77" i="221"/>
  <c r="I77" i="221"/>
  <c r="J77" i="221"/>
  <c r="K77" i="221"/>
  <c r="P77" i="221"/>
  <c r="Q77" i="221"/>
  <c r="T77" i="221"/>
  <c r="U77" i="221"/>
  <c r="X77" i="221"/>
  <c r="Y77" i="221"/>
  <c r="Z77" i="221"/>
  <c r="AA77" i="221"/>
  <c r="AF77" i="221"/>
  <c r="AG77" i="221"/>
  <c r="AH77" i="221"/>
  <c r="AI77" i="221"/>
  <c r="AL80" i="221"/>
  <c r="AM80" i="221"/>
  <c r="AN80" i="221" s="1"/>
  <c r="BC80" i="221" s="1"/>
  <c r="AL82" i="221"/>
  <c r="AM82" i="221"/>
  <c r="AN82" i="221" s="1"/>
  <c r="BC82" i="221" s="1"/>
  <c r="AL86" i="221"/>
  <c r="AM86" i="221"/>
  <c r="AN86" i="221" s="1"/>
  <c r="BC86" i="221" s="1"/>
  <c r="E88" i="221"/>
  <c r="G88" i="221"/>
  <c r="I88" i="221"/>
  <c r="K88" i="221"/>
  <c r="D89" i="221"/>
  <c r="E89" i="221"/>
  <c r="G89" i="221"/>
  <c r="H89" i="221"/>
  <c r="J89" i="221"/>
  <c r="L89" i="221"/>
  <c r="M89" i="221"/>
  <c r="N89" i="221"/>
  <c r="O89" i="221"/>
  <c r="P89" i="221"/>
  <c r="Q89" i="221"/>
  <c r="R89" i="221"/>
  <c r="S89" i="221"/>
  <c r="X89" i="221"/>
  <c r="Y89" i="221"/>
  <c r="Z89" i="221"/>
  <c r="AA89" i="221"/>
  <c r="AL93" i="221"/>
  <c r="AM93" i="221"/>
  <c r="AN93" i="221" s="1"/>
  <c r="BC93" i="221" s="1"/>
  <c r="D96" i="221"/>
  <c r="E96" i="221"/>
  <c r="AN96" i="221" s="1"/>
  <c r="BC96" i="221" s="1"/>
  <c r="D97" i="221"/>
  <c r="E97" i="221"/>
  <c r="AN97" i="221" s="1"/>
  <c r="BC97" i="221" s="1"/>
  <c r="D98" i="221"/>
  <c r="E98" i="221"/>
  <c r="F98" i="221"/>
  <c r="G98" i="221"/>
  <c r="D100" i="221"/>
  <c r="E100" i="221"/>
  <c r="AN100" i="221" s="1"/>
  <c r="BC100" i="221" s="1"/>
  <c r="E101" i="221"/>
  <c r="G101" i="221"/>
  <c r="I101" i="221"/>
  <c r="K101" i="221"/>
  <c r="D102" i="221"/>
  <c r="E102" i="221"/>
  <c r="H102" i="221"/>
  <c r="J102" i="221"/>
  <c r="K102" i="221"/>
  <c r="L102" i="221"/>
  <c r="M102" i="221"/>
  <c r="P102" i="221"/>
  <c r="Q102" i="221"/>
  <c r="R102" i="221"/>
  <c r="S102" i="221"/>
  <c r="X102" i="221"/>
  <c r="Y102" i="221"/>
  <c r="Z102" i="221"/>
  <c r="AA102" i="221"/>
  <c r="AB102" i="221"/>
  <c r="AC102" i="221"/>
  <c r="AD102" i="221"/>
  <c r="AE102" i="221"/>
  <c r="AL106" i="221"/>
  <c r="AM106" i="221"/>
  <c r="AN106" i="221" s="1"/>
  <c r="BC106" i="221" s="1"/>
  <c r="AL107" i="221"/>
  <c r="AM107" i="221"/>
  <c r="AN107" i="221" s="1"/>
  <c r="BC107" i="221" s="1"/>
  <c r="AL108" i="221"/>
  <c r="AM108" i="221"/>
  <c r="AN108" i="221" s="1"/>
  <c r="BC108" i="221" s="1"/>
  <c r="AL109" i="221"/>
  <c r="AM109" i="221"/>
  <c r="AN109" i="221" s="1"/>
  <c r="BC109" i="221" s="1"/>
  <c r="E112" i="221"/>
  <c r="G112" i="221"/>
  <c r="I112" i="221"/>
  <c r="K112" i="221"/>
  <c r="H114" i="221"/>
  <c r="I114" i="221"/>
  <c r="J114" i="221"/>
  <c r="K114" i="221"/>
  <c r="L114" i="221"/>
  <c r="M114" i="221"/>
  <c r="AL116" i="221"/>
  <c r="AM116" i="221"/>
  <c r="AN116" i="221" s="1"/>
  <c r="BC116" i="221" s="1"/>
  <c r="AL117" i="221"/>
  <c r="AM117" i="221"/>
  <c r="AN117" i="221" s="1"/>
  <c r="BC117" i="221" s="1"/>
  <c r="AL120" i="221"/>
  <c r="AM120" i="221"/>
  <c r="AN120" i="221" s="1"/>
  <c r="BC120" i="221" s="1"/>
  <c r="AL130" i="221"/>
  <c r="AM130" i="221"/>
  <c r="AN130" i="221" s="1"/>
  <c r="BC130" i="221" s="1"/>
  <c r="F131" i="221"/>
  <c r="G131" i="221"/>
  <c r="D134" i="221"/>
  <c r="E134" i="221"/>
  <c r="AN134" i="221" s="1"/>
  <c r="BC134" i="221" s="1"/>
  <c r="D135" i="221"/>
  <c r="E135" i="221"/>
  <c r="F135" i="221"/>
  <c r="G135" i="221"/>
  <c r="H135" i="221"/>
  <c r="I135" i="221"/>
  <c r="J135" i="221"/>
  <c r="K135" i="221"/>
  <c r="AF135" i="221"/>
  <c r="AG135" i="221"/>
  <c r="D138" i="221"/>
  <c r="E138" i="221"/>
  <c r="F138" i="221"/>
  <c r="G138" i="221"/>
  <c r="E139" i="221"/>
  <c r="G139" i="221"/>
  <c r="AL141" i="221"/>
  <c r="AM141" i="221"/>
  <c r="AN141" i="221" s="1"/>
  <c r="BC141" i="221" s="1"/>
  <c r="D142" i="221"/>
  <c r="E142" i="221"/>
  <c r="F142" i="221"/>
  <c r="G142" i="221"/>
  <c r="AL144" i="221"/>
  <c r="AM144" i="221"/>
  <c r="AN144" i="221" s="1"/>
  <c r="BC144" i="221" s="1"/>
  <c r="AL146" i="221"/>
  <c r="AM146" i="221"/>
  <c r="AN146" i="221" s="1"/>
  <c r="BC146" i="221" s="1"/>
  <c r="D154" i="221"/>
  <c r="E154" i="221"/>
  <c r="AN154" i="221" s="1"/>
  <c r="BC154" i="221" s="1"/>
  <c r="J5" i="221"/>
  <c r="K5" i="221"/>
  <c r="M5" i="221"/>
  <c r="N5" i="221"/>
  <c r="O5" i="221"/>
  <c r="T5" i="221"/>
  <c r="U5" i="221"/>
  <c r="V5" i="221"/>
  <c r="W5" i="221"/>
  <c r="AA5" i="221"/>
  <c r="AC5" i="221"/>
  <c r="AE5" i="221"/>
  <c r="AL5" i="221"/>
  <c r="AM5" i="221"/>
  <c r="AN98" i="221" l="1"/>
  <c r="BC98" i="221" s="1"/>
  <c r="J159" i="221"/>
  <c r="BB159" i="221"/>
  <c r="AA159" i="221"/>
  <c r="AN64" i="221"/>
  <c r="BC64" i="221" s="1"/>
  <c r="BA159" i="221"/>
  <c r="AN28" i="221"/>
  <c r="BC28" i="221" s="1"/>
  <c r="AN88" i="221"/>
  <c r="BC88" i="221" s="1"/>
  <c r="AN76" i="221"/>
  <c r="BC76" i="221" s="1"/>
  <c r="AN55" i="221"/>
  <c r="BC55" i="221" s="1"/>
  <c r="AN48" i="221"/>
  <c r="BC48" i="221" s="1"/>
  <c r="BC124" i="221"/>
  <c r="BC115" i="221"/>
  <c r="BC37" i="221"/>
  <c r="AN139" i="221"/>
  <c r="BC139" i="221" s="1"/>
  <c r="AN142" i="221"/>
  <c r="BC142" i="221" s="1"/>
  <c r="AN138" i="221"/>
  <c r="BC138" i="221" s="1"/>
  <c r="AN75" i="221"/>
  <c r="BC75" i="221" s="1"/>
  <c r="AN36" i="221"/>
  <c r="BC36" i="221" s="1"/>
  <c r="AN112" i="221"/>
  <c r="BC112" i="221" s="1"/>
  <c r="AN41" i="221"/>
  <c r="BC41" i="221" s="1"/>
  <c r="AN101" i="221"/>
  <c r="BC101" i="221" s="1"/>
  <c r="AN22" i="221" l="1"/>
  <c r="AN20" i="221"/>
  <c r="BC20" i="221" s="1"/>
  <c r="AN19" i="221"/>
  <c r="BC19" i="221" s="1"/>
  <c r="AN18" i="221"/>
  <c r="BC18" i="221" s="1"/>
  <c r="AN16" i="221"/>
  <c r="BC16" i="221" s="1"/>
  <c r="AN14" i="221"/>
  <c r="BC14" i="221" s="1"/>
  <c r="AN13" i="221"/>
  <c r="BC13" i="221" s="1"/>
  <c r="AN12" i="221"/>
  <c r="BC12" i="221" s="1"/>
  <c r="AN11" i="221"/>
  <c r="AN10" i="221"/>
  <c r="BC10" i="221" s="1"/>
  <c r="AN9" i="221"/>
  <c r="BC9" i="221" s="1"/>
  <c r="AN8" i="221"/>
  <c r="AN7" i="221"/>
  <c r="AN6" i="221"/>
  <c r="AQ5" i="220"/>
  <c r="AQ6" i="220" l="1"/>
  <c r="AZ159" i="220" l="1"/>
  <c r="AY159" i="220"/>
  <c r="AX159" i="220"/>
  <c r="AW159" i="220"/>
  <c r="AV159" i="220"/>
  <c r="AU159" i="220"/>
  <c r="AT159" i="220"/>
  <c r="AS159" i="220"/>
  <c r="AR159" i="220"/>
  <c r="AP159" i="220"/>
  <c r="AM159" i="220"/>
  <c r="AL159" i="220"/>
  <c r="AK159" i="220"/>
  <c r="AJ159" i="220"/>
  <c r="AH159" i="220"/>
  <c r="AE159" i="220"/>
  <c r="AD159" i="220"/>
  <c r="AB159" i="220"/>
  <c r="Z159" i="220"/>
  <c r="Y159" i="220"/>
  <c r="V159" i="220"/>
  <c r="U159" i="220"/>
  <c r="T159" i="220"/>
  <c r="R159" i="220"/>
  <c r="P159" i="220"/>
  <c r="O159" i="220"/>
  <c r="N159" i="220"/>
  <c r="M159" i="220"/>
  <c r="L159" i="220"/>
  <c r="K159" i="220"/>
  <c r="J159" i="220"/>
  <c r="H159" i="220"/>
  <c r="F159" i="220"/>
  <c r="D159" i="220"/>
  <c r="AN158" i="220"/>
  <c r="BC158" i="220" s="1"/>
  <c r="AN157" i="220"/>
  <c r="BC157" i="220" s="1"/>
  <c r="AN156" i="220"/>
  <c r="BC156" i="220" s="1"/>
  <c r="AN155" i="220"/>
  <c r="BC155" i="220" s="1"/>
  <c r="AN154" i="220"/>
  <c r="BC154" i="220" s="1"/>
  <c r="AN153" i="220"/>
  <c r="BC153" i="220" s="1"/>
  <c r="AN152" i="220"/>
  <c r="BC152" i="220" s="1"/>
  <c r="AN151" i="220"/>
  <c r="BC151" i="220" s="1"/>
  <c r="AN150" i="220"/>
  <c r="BC150" i="220" s="1"/>
  <c r="AN149" i="220"/>
  <c r="BC149" i="220" s="1"/>
  <c r="AN148" i="220"/>
  <c r="BC148" i="220" s="1"/>
  <c r="AN147" i="220"/>
  <c r="BC147" i="220" s="1"/>
  <c r="AN146" i="220"/>
  <c r="BC146" i="220" s="1"/>
  <c r="AN145" i="220"/>
  <c r="BC145" i="220" s="1"/>
  <c r="AN144" i="220"/>
  <c r="BC144" i="220" s="1"/>
  <c r="AN143" i="220"/>
  <c r="BC143" i="220" s="1"/>
  <c r="AN142" i="220"/>
  <c r="BC142" i="220" s="1"/>
  <c r="AN141" i="220"/>
  <c r="BC141" i="220" s="1"/>
  <c r="AN140" i="220"/>
  <c r="BC140" i="220" s="1"/>
  <c r="AN139" i="220"/>
  <c r="BC139" i="220" s="1"/>
  <c r="AN138" i="220"/>
  <c r="BC138" i="220" s="1"/>
  <c r="AN137" i="220"/>
  <c r="BC137" i="220" s="1"/>
  <c r="AN136" i="220"/>
  <c r="BC136" i="220" s="1"/>
  <c r="AN135" i="220"/>
  <c r="BC135" i="220" s="1"/>
  <c r="AN134" i="220"/>
  <c r="BC134" i="220" s="1"/>
  <c r="AN133" i="220"/>
  <c r="BC133" i="220" s="1"/>
  <c r="AN132" i="220"/>
  <c r="BC132" i="220" s="1"/>
  <c r="AN131" i="220"/>
  <c r="BC131" i="220" s="1"/>
  <c r="AN130" i="220"/>
  <c r="BC130" i="220" s="1"/>
  <c r="AN129" i="220"/>
  <c r="BC129" i="220" s="1"/>
  <c r="AN128" i="220"/>
  <c r="BC128" i="220" s="1"/>
  <c r="AN127" i="220"/>
  <c r="BC127" i="220" s="1"/>
  <c r="AN126" i="220"/>
  <c r="BC126" i="220" s="1"/>
  <c r="BB125" i="220"/>
  <c r="BA125" i="220"/>
  <c r="BA159" i="220" s="1"/>
  <c r="AN125" i="220"/>
  <c r="BC125" i="220" s="1"/>
  <c r="BB124" i="220"/>
  <c r="BB159" i="220" s="1"/>
  <c r="AN124" i="220"/>
  <c r="BC123" i="220"/>
  <c r="AN123" i="220"/>
  <c r="AN122" i="220"/>
  <c r="BC122" i="220" s="1"/>
  <c r="BC121" i="220"/>
  <c r="AN121" i="220"/>
  <c r="BC120" i="220"/>
  <c r="AN120" i="220"/>
  <c r="BC119" i="220"/>
  <c r="AN119" i="220"/>
  <c r="AN118" i="220"/>
  <c r="BC118" i="220" s="1"/>
  <c r="BC117" i="220"/>
  <c r="AN117" i="220"/>
  <c r="BC116" i="220"/>
  <c r="AN116" i="220"/>
  <c r="BC115" i="220"/>
  <c r="AN115" i="220"/>
  <c r="AQ114" i="220"/>
  <c r="AO114" i="220"/>
  <c r="AN114" i="220"/>
  <c r="BC114" i="220" s="1"/>
  <c r="BC113" i="220"/>
  <c r="AN113" i="220"/>
  <c r="BC112" i="220"/>
  <c r="AN112" i="220"/>
  <c r="AN111" i="220"/>
  <c r="BC111" i="220" s="1"/>
  <c r="BC110" i="220"/>
  <c r="AN110" i="220"/>
  <c r="BC109" i="220"/>
  <c r="AN109" i="220"/>
  <c r="BC108" i="220"/>
  <c r="AN108" i="220"/>
  <c r="AN107" i="220"/>
  <c r="BC107" i="220" s="1"/>
  <c r="BC106" i="220"/>
  <c r="AN106" i="220"/>
  <c r="BC105" i="220"/>
  <c r="AN105" i="220"/>
  <c r="BC104" i="220"/>
  <c r="AN104" i="220"/>
  <c r="AN103" i="220"/>
  <c r="BC103" i="220" s="1"/>
  <c r="AI102" i="220"/>
  <c r="AA102" i="220"/>
  <c r="Q102" i="220"/>
  <c r="AN102" i="220" s="1"/>
  <c r="BC102" i="220" s="1"/>
  <c r="I102" i="220"/>
  <c r="G102" i="220"/>
  <c r="E102" i="220"/>
  <c r="BC101" i="220"/>
  <c r="AN101" i="220"/>
  <c r="BC100" i="220"/>
  <c r="AN100" i="220"/>
  <c r="BC99" i="220"/>
  <c r="AN99" i="220"/>
  <c r="AN98" i="220"/>
  <c r="BC98" i="220" s="1"/>
  <c r="BC97" i="220"/>
  <c r="AN97" i="220"/>
  <c r="BC96" i="220"/>
  <c r="AN96" i="220"/>
  <c r="BC95" i="220"/>
  <c r="AN95" i="220"/>
  <c r="AN94" i="220"/>
  <c r="BC94" i="220" s="1"/>
  <c r="BC93" i="220"/>
  <c r="AN93" i="220"/>
  <c r="BC92" i="220"/>
  <c r="AN92" i="220"/>
  <c r="BC91" i="220"/>
  <c r="AN91" i="220"/>
  <c r="AN90" i="220"/>
  <c r="BC90" i="220" s="1"/>
  <c r="AG89" i="220"/>
  <c r="AF89" i="220"/>
  <c r="AF159" i="220" s="1"/>
  <c r="AA89" i="220"/>
  <c r="AN89" i="220" s="1"/>
  <c r="BC89" i="220" s="1"/>
  <c r="W89" i="220"/>
  <c r="W159" i="220" s="1"/>
  <c r="AN88" i="220"/>
  <c r="BC88" i="220" s="1"/>
  <c r="BC87" i="220"/>
  <c r="AN87" i="220"/>
  <c r="BC86" i="220"/>
  <c r="AN86" i="220"/>
  <c r="BC85" i="220"/>
  <c r="AN85" i="220"/>
  <c r="AN84" i="220"/>
  <c r="BC84" i="220" s="1"/>
  <c r="BC83" i="220"/>
  <c r="AN83" i="220"/>
  <c r="BC82" i="220"/>
  <c r="AN82" i="220"/>
  <c r="BC81" i="220"/>
  <c r="AN81" i="220"/>
  <c r="AN80" i="220"/>
  <c r="BC80" i="220" s="1"/>
  <c r="BC79" i="220"/>
  <c r="AN79" i="220"/>
  <c r="BC78" i="220"/>
  <c r="AN78" i="220"/>
  <c r="AQ77" i="220"/>
  <c r="AI77" i="220"/>
  <c r="AG77" i="220"/>
  <c r="AG159" i="220" s="1"/>
  <c r="AC77" i="220"/>
  <c r="AC159" i="220" s="1"/>
  <c r="AA77" i="220"/>
  <c r="Q77" i="220"/>
  <c r="G77" i="220"/>
  <c r="AN77" i="220" s="1"/>
  <c r="BC77" i="220" s="1"/>
  <c r="AN76" i="220"/>
  <c r="BC76" i="220" s="1"/>
  <c r="AN75" i="220"/>
  <c r="BC75" i="220" s="1"/>
  <c r="AN74" i="220"/>
  <c r="BC74" i="220" s="1"/>
  <c r="AN73" i="220"/>
  <c r="BC73" i="220" s="1"/>
  <c r="AN72" i="220"/>
  <c r="BC72" i="220" s="1"/>
  <c r="AN71" i="220"/>
  <c r="BC71" i="220" s="1"/>
  <c r="AN70" i="220"/>
  <c r="BC70" i="220" s="1"/>
  <c r="AN69" i="220"/>
  <c r="BC69" i="220" s="1"/>
  <c r="AN68" i="220"/>
  <c r="BC68" i="220" s="1"/>
  <c r="AN67" i="220"/>
  <c r="BC67" i="220" s="1"/>
  <c r="AN66" i="220"/>
  <c r="BC66" i="220" s="1"/>
  <c r="AN65" i="220"/>
  <c r="BC65" i="220" s="1"/>
  <c r="AI65" i="220"/>
  <c r="AA65" i="220"/>
  <c r="Q65" i="220"/>
  <c r="G65" i="220"/>
  <c r="G159" i="220" s="1"/>
  <c r="AN64" i="220"/>
  <c r="BC64" i="220" s="1"/>
  <c r="AN63" i="220"/>
  <c r="BC63" i="220" s="1"/>
  <c r="AN62" i="220"/>
  <c r="BC62" i="220" s="1"/>
  <c r="AN61" i="220"/>
  <c r="BC61" i="220" s="1"/>
  <c r="AN60" i="220"/>
  <c r="BC60" i="220" s="1"/>
  <c r="AN59" i="220"/>
  <c r="BC59" i="220" s="1"/>
  <c r="AN58" i="220"/>
  <c r="BC58" i="220" s="1"/>
  <c r="AN57" i="220"/>
  <c r="BC57" i="220" s="1"/>
  <c r="AN56" i="220"/>
  <c r="BC56" i="220" s="1"/>
  <c r="AN55" i="220"/>
  <c r="BC55" i="220" s="1"/>
  <c r="AN54" i="220"/>
  <c r="BC54" i="220" s="1"/>
  <c r="AN53" i="220"/>
  <c r="BC53" i="220" s="1"/>
  <c r="AN52" i="220"/>
  <c r="BC52" i="220" s="1"/>
  <c r="AN51" i="220"/>
  <c r="BC51" i="220" s="1"/>
  <c r="AN50" i="220"/>
  <c r="BC50" i="220" s="1"/>
  <c r="AN49" i="220"/>
  <c r="BC49" i="220" s="1"/>
  <c r="AA49" i="220"/>
  <c r="BC48" i="220"/>
  <c r="AN48" i="220"/>
  <c r="BC47" i="220"/>
  <c r="AN47" i="220"/>
  <c r="AN46" i="220"/>
  <c r="BC46" i="220" s="1"/>
  <c r="BC45" i="220"/>
  <c r="AN45" i="220"/>
  <c r="BC44" i="220"/>
  <c r="AN44" i="220"/>
  <c r="AA43" i="220"/>
  <c r="AA159" i="220" s="1"/>
  <c r="E43" i="220"/>
  <c r="AN43" i="220" s="1"/>
  <c r="BC43" i="220" s="1"/>
  <c r="BC42" i="220"/>
  <c r="AN42" i="220"/>
  <c r="BC41" i="220"/>
  <c r="AN41" i="220"/>
  <c r="BC40" i="220"/>
  <c r="AN40" i="220"/>
  <c r="AN39" i="220"/>
  <c r="BC39" i="220" s="1"/>
  <c r="AQ38" i="220"/>
  <c r="AN38" i="220"/>
  <c r="BC38" i="220" s="1"/>
  <c r="AN37" i="220"/>
  <c r="BC37" i="220" s="1"/>
  <c r="AN36" i="220"/>
  <c r="BC36" i="220" s="1"/>
  <c r="AN35" i="220"/>
  <c r="BC35" i="220" s="1"/>
  <c r="AN34" i="220"/>
  <c r="BC34" i="220" s="1"/>
  <c r="AN33" i="220"/>
  <c r="BC33" i="220" s="1"/>
  <c r="AN32" i="220"/>
  <c r="BC32" i="220" s="1"/>
  <c r="AN31" i="220"/>
  <c r="BC31" i="220" s="1"/>
  <c r="AN30" i="220"/>
  <c r="BC30" i="220" s="1"/>
  <c r="AQ29" i="220"/>
  <c r="E29" i="220"/>
  <c r="AN29" i="220" s="1"/>
  <c r="BC29" i="220" s="1"/>
  <c r="AN28" i="220"/>
  <c r="BC28" i="220" s="1"/>
  <c r="AN27" i="220"/>
  <c r="BC27" i="220" s="1"/>
  <c r="AN26" i="220"/>
  <c r="BC26" i="220" s="1"/>
  <c r="AN25" i="220"/>
  <c r="BC25" i="220" s="1"/>
  <c r="AN24" i="220"/>
  <c r="BC24" i="220" s="1"/>
  <c r="AN23" i="220"/>
  <c r="BC23" i="220" s="1"/>
  <c r="AN22" i="220"/>
  <c r="BC22" i="220" s="1"/>
  <c r="AN21" i="220"/>
  <c r="BC21" i="220" s="1"/>
  <c r="AN20" i="220"/>
  <c r="BC20" i="220" s="1"/>
  <c r="AN19" i="220"/>
  <c r="BC19" i="220" s="1"/>
  <c r="AN18" i="220"/>
  <c r="BC18" i="220" s="1"/>
  <c r="AN17" i="220"/>
  <c r="BC17" i="220" s="1"/>
  <c r="AN16" i="220"/>
  <c r="BC16" i="220" s="1"/>
  <c r="AN15" i="220"/>
  <c r="BC15" i="220" s="1"/>
  <c r="AN14" i="220"/>
  <c r="BC14" i="220" s="1"/>
  <c r="AN13" i="220"/>
  <c r="BC13" i="220" s="1"/>
  <c r="AQ12" i="220"/>
  <c r="AO12" i="220"/>
  <c r="AN12" i="220"/>
  <c r="BC12" i="220" s="1"/>
  <c r="AQ11" i="220"/>
  <c r="BC11" i="220" s="1"/>
  <c r="AN11" i="220"/>
  <c r="AN10" i="220"/>
  <c r="BC10" i="220" s="1"/>
  <c r="BC9" i="220"/>
  <c r="AN9" i="220"/>
  <c r="BC8" i="220"/>
  <c r="AN8" i="220"/>
  <c r="BC7" i="220"/>
  <c r="AN7" i="220"/>
  <c r="AN6" i="220"/>
  <c r="BC6" i="220" s="1"/>
  <c r="AQ159" i="220"/>
  <c r="AO5" i="220"/>
  <c r="AO159" i="220" s="1"/>
  <c r="AI5" i="220"/>
  <c r="AI159" i="220" s="1"/>
  <c r="X5" i="220"/>
  <c r="X159" i="220" s="1"/>
  <c r="S5" i="220"/>
  <c r="S159" i="220" s="1"/>
  <c r="Q5" i="220"/>
  <c r="Q159" i="220" s="1"/>
  <c r="I5" i="220"/>
  <c r="I159" i="220" s="1"/>
  <c r="E5" i="220"/>
  <c r="E159" i="220" s="1"/>
  <c r="AN5" i="220" l="1"/>
  <c r="BC124" i="220"/>
  <c r="AW65" i="219"/>
  <c r="AW65" i="221" s="1"/>
  <c r="AV65" i="219"/>
  <c r="AV65" i="221" s="1"/>
  <c r="AU65" i="219"/>
  <c r="AU65" i="221" s="1"/>
  <c r="AK65" i="219"/>
  <c r="AK65" i="221" s="1"/>
  <c r="AJ65" i="219"/>
  <c r="AJ65" i="221" s="1"/>
  <c r="G114" i="219"/>
  <c r="G114" i="221" s="1"/>
  <c r="F114" i="219"/>
  <c r="F114" i="221" s="1"/>
  <c r="E114" i="219"/>
  <c r="E114" i="221" s="1"/>
  <c r="D114" i="219"/>
  <c r="D114" i="221" s="1"/>
  <c r="AM129" i="219"/>
  <c r="AM129" i="221" s="1"/>
  <c r="AN129" i="221" s="1"/>
  <c r="BC129" i="221" s="1"/>
  <c r="AL129" i="219"/>
  <c r="AL129" i="221" s="1"/>
  <c r="AM128" i="219"/>
  <c r="AM128" i="221" s="1"/>
  <c r="AN128" i="221" s="1"/>
  <c r="BC128" i="221" s="1"/>
  <c r="AL128" i="219"/>
  <c r="AL128" i="221" s="1"/>
  <c r="AK5" i="219"/>
  <c r="AK5" i="221" s="1"/>
  <c r="AJ5" i="219"/>
  <c r="AJ5" i="221" s="1"/>
  <c r="AQ6" i="219"/>
  <c r="AO6" i="219"/>
  <c r="AO6" i="221" l="1"/>
  <c r="AQ6" i="221"/>
  <c r="BC5" i="220"/>
  <c r="BC159" i="220" s="1"/>
  <c r="AN159" i="220"/>
  <c r="BC6" i="221" l="1"/>
  <c r="AQ7" i="219" l="1"/>
  <c r="AO7" i="219"/>
  <c r="AQ8" i="219"/>
  <c r="AQ8" i="221" s="1"/>
  <c r="BC8" i="221" s="1"/>
  <c r="AO8" i="219"/>
  <c r="AO8" i="221" s="1"/>
  <c r="AQ11" i="219"/>
  <c r="AQ11" i="221" s="1"/>
  <c r="BC11" i="221" s="1"/>
  <c r="AO11" i="219"/>
  <c r="AO11" i="221" s="1"/>
  <c r="G15" i="219"/>
  <c r="G15" i="221" s="1"/>
  <c r="F15" i="219"/>
  <c r="F15" i="221" s="1"/>
  <c r="D15" i="219"/>
  <c r="D15" i="221" s="1"/>
  <c r="E15" i="219"/>
  <c r="E15" i="221" s="1"/>
  <c r="AT22" i="219"/>
  <c r="AT22" i="221" s="1"/>
  <c r="AS22" i="219"/>
  <c r="AS22" i="221" s="1"/>
  <c r="AS159" i="221" s="1"/>
  <c r="AO13" i="219"/>
  <c r="AO13" i="221" s="1"/>
  <c r="AO12" i="219"/>
  <c r="AO12" i="221" s="1"/>
  <c r="AG5" i="219"/>
  <c r="AG5" i="221" s="1"/>
  <c r="AF5" i="219"/>
  <c r="AF5" i="221" s="1"/>
  <c r="Q5" i="219"/>
  <c r="Q5" i="221" s="1"/>
  <c r="P5" i="219"/>
  <c r="P5" i="221" s="1"/>
  <c r="S5" i="219"/>
  <c r="S5" i="221" s="1"/>
  <c r="R5" i="219"/>
  <c r="R5" i="221" s="1"/>
  <c r="L5" i="219"/>
  <c r="L5" i="221" s="1"/>
  <c r="AD5" i="219"/>
  <c r="AD5" i="221" s="1"/>
  <c r="AM25" i="219"/>
  <c r="AM25" i="221" s="1"/>
  <c r="AN25" i="221" s="1"/>
  <c r="BC25" i="221" s="1"/>
  <c r="AL25" i="219"/>
  <c r="AL25" i="221" s="1"/>
  <c r="AM17" i="219"/>
  <c r="AM17" i="221" s="1"/>
  <c r="AL17" i="219"/>
  <c r="AL17" i="221" s="1"/>
  <c r="AW5" i="219"/>
  <c r="AW5" i="221" s="1"/>
  <c r="AV5" i="219"/>
  <c r="AV5" i="221" s="1"/>
  <c r="AU5" i="219"/>
  <c r="AU5" i="221" s="1"/>
  <c r="AM24" i="219"/>
  <c r="AM24" i="221" s="1"/>
  <c r="AN24" i="221" s="1"/>
  <c r="BC24" i="221" s="1"/>
  <c r="AL24" i="219"/>
  <c r="AL24" i="221" s="1"/>
  <c r="AI5" i="219"/>
  <c r="AI5" i="221" s="1"/>
  <c r="AH5" i="219"/>
  <c r="AH5" i="221" s="1"/>
  <c r="AM21" i="219"/>
  <c r="AM21" i="221" s="1"/>
  <c r="AN21" i="221" s="1"/>
  <c r="BC21" i="221" s="1"/>
  <c r="AL21" i="219"/>
  <c r="AL21" i="221" s="1"/>
  <c r="AB5" i="219"/>
  <c r="AB5" i="221" s="1"/>
  <c r="AP22" i="219"/>
  <c r="AP22" i="221" s="1"/>
  <c r="AP159" i="221" s="1"/>
  <c r="AL22" i="219"/>
  <c r="AL22" i="221" s="1"/>
  <c r="AM34" i="219"/>
  <c r="AM34" i="221" s="1"/>
  <c r="AN34" i="221" s="1"/>
  <c r="BC34" i="221" s="1"/>
  <c r="AL34" i="219"/>
  <c r="AL34" i="221" s="1"/>
  <c r="AM33" i="219"/>
  <c r="AM33" i="221" s="1"/>
  <c r="AN33" i="221" s="1"/>
  <c r="BC33" i="221" s="1"/>
  <c r="AL33" i="219"/>
  <c r="AL33" i="221" s="1"/>
  <c r="AI29" i="219"/>
  <c r="AI29" i="221" s="1"/>
  <c r="AH29" i="219"/>
  <c r="AH29" i="221" s="1"/>
  <c r="AQ38" i="219"/>
  <c r="AQ38" i="221" s="1"/>
  <c r="AO38" i="219"/>
  <c r="AO38" i="221" s="1"/>
  <c r="E38" i="219"/>
  <c r="E38" i="221" s="1"/>
  <c r="AN38" i="221" s="1"/>
  <c r="D38" i="219"/>
  <c r="D38" i="221" s="1"/>
  <c r="AM40" i="219"/>
  <c r="AM40" i="221" s="1"/>
  <c r="AN40" i="221" s="1"/>
  <c r="BC40" i="221" s="1"/>
  <c r="AL40" i="219"/>
  <c r="AL40" i="221" s="1"/>
  <c r="AL42" i="219"/>
  <c r="AL42" i="221" s="1"/>
  <c r="AM42" i="219"/>
  <c r="AM42" i="221" s="1"/>
  <c r="AN42" i="221" s="1"/>
  <c r="BC42" i="221" s="1"/>
  <c r="AG43" i="219"/>
  <c r="AG43" i="221" s="1"/>
  <c r="AF43" i="219"/>
  <c r="AF43" i="221" s="1"/>
  <c r="AI43" i="219"/>
  <c r="AI43" i="221" s="1"/>
  <c r="AH43" i="219"/>
  <c r="AH43" i="221" s="1"/>
  <c r="AC43" i="219"/>
  <c r="AC43" i="221" s="1"/>
  <c r="AB43" i="219"/>
  <c r="AB43" i="221" s="1"/>
  <c r="AG49" i="219"/>
  <c r="AG49" i="221" s="1"/>
  <c r="AF49" i="219"/>
  <c r="AF49" i="221" s="1"/>
  <c r="Q49" i="219"/>
  <c r="Q49" i="221" s="1"/>
  <c r="P49" i="219"/>
  <c r="P49" i="221" s="1"/>
  <c r="M49" i="219"/>
  <c r="M49" i="221" s="1"/>
  <c r="L49" i="219"/>
  <c r="L49" i="221" s="1"/>
  <c r="AW49" i="219"/>
  <c r="AW49" i="221" s="1"/>
  <c r="AV49" i="219"/>
  <c r="AV49" i="221" s="1"/>
  <c r="AU49" i="219"/>
  <c r="AU49" i="221" s="1"/>
  <c r="AQ49" i="219"/>
  <c r="AQ49" i="221" s="1"/>
  <c r="AO49" i="219"/>
  <c r="AO49" i="221" s="1"/>
  <c r="AC49" i="219"/>
  <c r="AC49" i="221" s="1"/>
  <c r="AB49" i="219"/>
  <c r="AB49" i="221" s="1"/>
  <c r="M56" i="219"/>
  <c r="M56" i="221" s="1"/>
  <c r="L56" i="219"/>
  <c r="L56" i="221" s="1"/>
  <c r="AM59" i="219"/>
  <c r="AM59" i="221" s="1"/>
  <c r="AN59" i="221" s="1"/>
  <c r="BC59" i="221" s="1"/>
  <c r="AL59" i="219"/>
  <c r="AL59" i="221" s="1"/>
  <c r="AM60" i="219"/>
  <c r="AM60" i="221" s="1"/>
  <c r="AN60" i="221" s="1"/>
  <c r="BC60" i="221" s="1"/>
  <c r="AL60" i="219"/>
  <c r="AL60" i="221" s="1"/>
  <c r="AK56" i="219"/>
  <c r="AK56" i="221" s="1"/>
  <c r="AJ56" i="219"/>
  <c r="AJ56" i="221" s="1"/>
  <c r="AT56" i="219"/>
  <c r="AT56" i="221" s="1"/>
  <c r="AR56" i="219"/>
  <c r="AR56" i="221" s="1"/>
  <c r="U65" i="219"/>
  <c r="U65" i="221" s="1"/>
  <c r="T65" i="219"/>
  <c r="T65" i="221" s="1"/>
  <c r="Q65" i="219"/>
  <c r="Q65" i="221" s="1"/>
  <c r="P65" i="219"/>
  <c r="P65" i="221" s="1"/>
  <c r="W65" i="219"/>
  <c r="W65" i="221" s="1"/>
  <c r="V65" i="219"/>
  <c r="V65" i="221" s="1"/>
  <c r="AE65" i="219"/>
  <c r="AE65" i="221" s="1"/>
  <c r="AD65" i="219"/>
  <c r="AD65" i="221" s="1"/>
  <c r="AM69" i="219"/>
  <c r="AM69" i="221" s="1"/>
  <c r="AN69" i="221" s="1"/>
  <c r="BC69" i="221" s="1"/>
  <c r="AL69" i="219"/>
  <c r="AL69" i="221" s="1"/>
  <c r="AI65" i="219"/>
  <c r="AI65" i="221" s="1"/>
  <c r="AH65" i="219"/>
  <c r="AH65" i="221" s="1"/>
  <c r="AC65" i="219"/>
  <c r="AC65" i="221" s="1"/>
  <c r="AB65" i="219"/>
  <c r="AB65" i="221" s="1"/>
  <c r="AK89" i="219"/>
  <c r="AK89" i="221" s="1"/>
  <c r="AJ89" i="219"/>
  <c r="AJ89" i="221" s="1"/>
  <c r="AM95" i="219"/>
  <c r="AM95" i="221" s="1"/>
  <c r="AN95" i="221" s="1"/>
  <c r="BC95" i="221" s="1"/>
  <c r="AL95" i="219"/>
  <c r="AL95" i="221" s="1"/>
  <c r="U89" i="219"/>
  <c r="U89" i="221" s="1"/>
  <c r="T89" i="219"/>
  <c r="T89" i="221" s="1"/>
  <c r="W89" i="219"/>
  <c r="W89" i="221" s="1"/>
  <c r="V89" i="219"/>
  <c r="V89" i="221" s="1"/>
  <c r="AG89" i="219"/>
  <c r="AG89" i="221" s="1"/>
  <c r="AF89" i="219"/>
  <c r="AF89" i="221" s="1"/>
  <c r="AE89" i="219"/>
  <c r="AE89" i="221" s="1"/>
  <c r="AD89" i="219"/>
  <c r="AD89" i="221" s="1"/>
  <c r="AM94" i="219"/>
  <c r="AM94" i="221" s="1"/>
  <c r="AN94" i="221" s="1"/>
  <c r="BC94" i="221" s="1"/>
  <c r="AL94" i="219"/>
  <c r="AL94" i="221" s="1"/>
  <c r="AW89" i="219"/>
  <c r="AW89" i="221" s="1"/>
  <c r="AV89" i="219"/>
  <c r="AV89" i="221" s="1"/>
  <c r="AU89" i="219"/>
  <c r="AU89" i="221" s="1"/>
  <c r="AI89" i="219"/>
  <c r="AI89" i="221" s="1"/>
  <c r="AH89" i="219"/>
  <c r="AH89" i="221" s="1"/>
  <c r="AC89" i="219"/>
  <c r="AC89" i="221" s="1"/>
  <c r="AB89" i="219"/>
  <c r="AB89" i="221" s="1"/>
  <c r="AK77" i="219"/>
  <c r="AK77" i="221" s="1"/>
  <c r="AJ77" i="219"/>
  <c r="AJ77" i="221" s="1"/>
  <c r="E87" i="219"/>
  <c r="E87" i="221" s="1"/>
  <c r="AN87" i="221" s="1"/>
  <c r="BC87" i="221" s="1"/>
  <c r="D87" i="219"/>
  <c r="D87" i="221" s="1"/>
  <c r="AM84" i="219"/>
  <c r="AM84" i="221" s="1"/>
  <c r="AN84" i="221" s="1"/>
  <c r="BC84" i="221" s="1"/>
  <c r="AL84" i="219"/>
  <c r="AL84" i="221" s="1"/>
  <c r="S77" i="219"/>
  <c r="S77" i="221" s="1"/>
  <c r="R77" i="219"/>
  <c r="R77" i="221" s="1"/>
  <c r="M77" i="219"/>
  <c r="M77" i="221" s="1"/>
  <c r="L77" i="219"/>
  <c r="L77" i="221" s="1"/>
  <c r="AE77" i="219"/>
  <c r="AE77" i="221" s="1"/>
  <c r="AD77" i="219"/>
  <c r="AD77" i="221" s="1"/>
  <c r="AM85" i="219"/>
  <c r="AM85" i="221" s="1"/>
  <c r="AN85" i="221" s="1"/>
  <c r="BC85" i="221" s="1"/>
  <c r="AL85" i="219"/>
  <c r="AL85" i="221" s="1"/>
  <c r="AM83" i="219"/>
  <c r="AM83" i="221" s="1"/>
  <c r="AN83" i="221" s="1"/>
  <c r="BC83" i="221" s="1"/>
  <c r="AL83" i="219"/>
  <c r="AL83" i="221" s="1"/>
  <c r="AC77" i="219"/>
  <c r="AC77" i="221" s="1"/>
  <c r="AB77" i="219"/>
  <c r="AB77" i="221" s="1"/>
  <c r="AG102" i="219"/>
  <c r="AG102" i="221" s="1"/>
  <c r="AF102" i="219"/>
  <c r="AF102" i="221" s="1"/>
  <c r="AM110" i="219"/>
  <c r="AM110" i="221" s="1"/>
  <c r="AN110" i="221" s="1"/>
  <c r="BC110" i="221" s="1"/>
  <c r="AL110" i="219"/>
  <c r="AL110" i="221" s="1"/>
  <c r="AK102" i="219"/>
  <c r="AK102" i="221" s="1"/>
  <c r="AJ102" i="219"/>
  <c r="AJ102" i="221" s="1"/>
  <c r="AQ122" i="219"/>
  <c r="AQ122" i="221" s="1"/>
  <c r="BC122" i="221" s="1"/>
  <c r="AO122" i="219"/>
  <c r="AO122" i="221" s="1"/>
  <c r="AQ121" i="219"/>
  <c r="AQ121" i="221" s="1"/>
  <c r="BC121" i="221" s="1"/>
  <c r="AO121" i="219"/>
  <c r="AO121" i="221" s="1"/>
  <c r="I131" i="219"/>
  <c r="I131" i="221" s="1"/>
  <c r="H131" i="219"/>
  <c r="H131" i="221" s="1"/>
  <c r="E131" i="219"/>
  <c r="E131" i="221" s="1"/>
  <c r="D131" i="219"/>
  <c r="D131" i="221" s="1"/>
  <c r="AT102" i="219"/>
  <c r="AT102" i="221" s="1"/>
  <c r="AR102" i="219"/>
  <c r="AR102" i="221" s="1"/>
  <c r="O114" i="219"/>
  <c r="O114" i="221" s="1"/>
  <c r="N114" i="219"/>
  <c r="N114" i="221" s="1"/>
  <c r="N159" i="221" s="1"/>
  <c r="AM119" i="219"/>
  <c r="AM119" i="221" s="1"/>
  <c r="AN119" i="221" s="1"/>
  <c r="BC119" i="221" s="1"/>
  <c r="AL119" i="219"/>
  <c r="AL119" i="221" s="1"/>
  <c r="AM118" i="219"/>
  <c r="AM118" i="221" s="1"/>
  <c r="AN118" i="221" s="1"/>
  <c r="BC118" i="221" s="1"/>
  <c r="AL118" i="219"/>
  <c r="AL118" i="221" s="1"/>
  <c r="AM126" i="219"/>
  <c r="AM126" i="221" s="1"/>
  <c r="AN126" i="221" s="1"/>
  <c r="BC126" i="221" s="1"/>
  <c r="AL126" i="219"/>
  <c r="AL126" i="221" s="1"/>
  <c r="AI135" i="219"/>
  <c r="AI135" i="221" s="1"/>
  <c r="AH135" i="219"/>
  <c r="AH135" i="221" s="1"/>
  <c r="AC135" i="219"/>
  <c r="AC135" i="221" s="1"/>
  <c r="AB135" i="219"/>
  <c r="AB135" i="221" s="1"/>
  <c r="E137" i="219"/>
  <c r="E137" i="221" s="1"/>
  <c r="AN137" i="221" s="1"/>
  <c r="BC137" i="221" s="1"/>
  <c r="D137" i="219"/>
  <c r="D137" i="221" s="1"/>
  <c r="BC38" i="221" l="1"/>
  <c r="AN15" i="221"/>
  <c r="BC15" i="221" s="1"/>
  <c r="AE159" i="221"/>
  <c r="AN56" i="221"/>
  <c r="BC56" i="221" s="1"/>
  <c r="V159" i="221"/>
  <c r="AJ159" i="221"/>
  <c r="M159" i="221"/>
  <c r="AN49" i="221"/>
  <c r="BC49" i="221" s="1"/>
  <c r="W159" i="221"/>
  <c r="AK159" i="221"/>
  <c r="AD159" i="221"/>
  <c r="O159" i="221"/>
  <c r="AN114" i="221"/>
  <c r="BC114" i="221" s="1"/>
  <c r="AN77" i="221"/>
  <c r="BC77" i="221" s="1"/>
  <c r="AU159" i="221"/>
  <c r="L159" i="221"/>
  <c r="AV159" i="221"/>
  <c r="R159" i="221"/>
  <c r="AN131" i="221"/>
  <c r="BC131" i="221" s="1"/>
  <c r="T159" i="221"/>
  <c r="AW159" i="221"/>
  <c r="S159" i="221"/>
  <c r="AT159" i="221"/>
  <c r="BC22" i="221"/>
  <c r="U159" i="221"/>
  <c r="AL159" i="221"/>
  <c r="P159" i="221"/>
  <c r="AO7" i="221"/>
  <c r="AN135" i="221"/>
  <c r="BC135" i="221" s="1"/>
  <c r="AR159" i="221"/>
  <c r="AM159" i="221"/>
  <c r="AN17" i="221"/>
  <c r="BC17" i="221" s="1"/>
  <c r="Q159" i="221"/>
  <c r="AQ7" i="221"/>
  <c r="AQ5" i="219"/>
  <c r="AQ5" i="221" s="1"/>
  <c r="AO5" i="219"/>
  <c r="AO5" i="221" s="1"/>
  <c r="AG153" i="219"/>
  <c r="AG153" i="221" s="1"/>
  <c r="AG159" i="221" s="1"/>
  <c r="AF153" i="219"/>
  <c r="AF153" i="221" s="1"/>
  <c r="AF159" i="221" s="1"/>
  <c r="AI153" i="219"/>
  <c r="AI153" i="221" s="1"/>
  <c r="AH153" i="219"/>
  <c r="AH153" i="221" s="1"/>
  <c r="AC153" i="219"/>
  <c r="AC153" i="221" s="1"/>
  <c r="AC159" i="221" s="1"/>
  <c r="AB153" i="219"/>
  <c r="AB153" i="221" s="1"/>
  <c r="AB159" i="221" s="1"/>
  <c r="BC7" i="221" l="1"/>
  <c r="AN153" i="221"/>
  <c r="BC153" i="221" s="1"/>
  <c r="AN55" i="219"/>
  <c r="AN64" i="219"/>
  <c r="AN88" i="219"/>
  <c r="AI102" i="219" l="1"/>
  <c r="AI102" i="221" s="1"/>
  <c r="AI159" i="221" s="1"/>
  <c r="AH102" i="219"/>
  <c r="AH102" i="221" s="1"/>
  <c r="AH159" i="221" s="1"/>
  <c r="AQ102" i="219"/>
  <c r="AQ102" i="221" s="1"/>
  <c r="AO102" i="219"/>
  <c r="AO102" i="221" s="1"/>
  <c r="G102" i="219"/>
  <c r="G102" i="221" s="1"/>
  <c r="F102" i="219"/>
  <c r="F102" i="221" s="1"/>
  <c r="AN109" i="219"/>
  <c r="AN110" i="219"/>
  <c r="AN111" i="219"/>
  <c r="AN112" i="219"/>
  <c r="I102" i="219"/>
  <c r="I102" i="221" s="1"/>
  <c r="AN26" i="219"/>
  <c r="AN27" i="219"/>
  <c r="AN28" i="219"/>
  <c r="X5" i="219"/>
  <c r="X5" i="221" s="1"/>
  <c r="X159" i="221" s="1"/>
  <c r="Y5" i="219"/>
  <c r="Y5" i="221" s="1"/>
  <c r="Y159" i="221" s="1"/>
  <c r="Z5" i="219"/>
  <c r="Z5" i="221" s="1"/>
  <c r="Z159" i="221" s="1"/>
  <c r="I5" i="219"/>
  <c r="I5" i="221" s="1"/>
  <c r="E5" i="219"/>
  <c r="E5" i="221" s="1"/>
  <c r="D5" i="219"/>
  <c r="D5" i="221" s="1"/>
  <c r="G5" i="219"/>
  <c r="G5" i="221" s="1"/>
  <c r="G159" i="221" s="1"/>
  <c r="F5" i="219"/>
  <c r="F5" i="221" s="1"/>
  <c r="H5" i="219"/>
  <c r="H5" i="221" s="1"/>
  <c r="I65" i="219"/>
  <c r="I65" i="221" s="1"/>
  <c r="AN65" i="221" s="1"/>
  <c r="AN65" i="219"/>
  <c r="AN73" i="219"/>
  <c r="AN74" i="219"/>
  <c r="AN75" i="219"/>
  <c r="AN76" i="219"/>
  <c r="AQ65" i="219"/>
  <c r="AQ65" i="221" s="1"/>
  <c r="AO65" i="219"/>
  <c r="AO65" i="221" s="1"/>
  <c r="AN102" i="221" l="1"/>
  <c r="BC102" i="221" s="1"/>
  <c r="E159" i="221"/>
  <c r="AN5" i="221"/>
  <c r="BC65" i="221"/>
  <c r="AN44" i="219"/>
  <c r="AN45" i="219"/>
  <c r="AN46" i="219"/>
  <c r="AN47" i="219"/>
  <c r="AN48" i="219"/>
  <c r="I43" i="219"/>
  <c r="I43" i="221" s="1"/>
  <c r="AN43" i="221" s="1"/>
  <c r="BC43" i="221" s="1"/>
  <c r="BC5" i="221" l="1"/>
  <c r="AN30" i="219"/>
  <c r="AN31" i="219"/>
  <c r="AN32" i="219"/>
  <c r="AQ29" i="219"/>
  <c r="AQ29" i="221" s="1"/>
  <c r="AO29" i="219"/>
  <c r="AN33" i="219"/>
  <c r="AN34" i="219"/>
  <c r="AN35" i="219"/>
  <c r="AN36" i="219"/>
  <c r="I29" i="219"/>
  <c r="H29" i="219"/>
  <c r="H29" i="221" s="1"/>
  <c r="H159" i="221" s="1"/>
  <c r="AO29" i="221" l="1"/>
  <c r="AO159" i="219"/>
  <c r="AN29" i="219"/>
  <c r="I29" i="221"/>
  <c r="I89" i="219"/>
  <c r="I89" i="221" s="1"/>
  <c r="AQ89" i="219"/>
  <c r="AO89" i="219"/>
  <c r="AO89" i="221" s="1"/>
  <c r="AN98" i="219"/>
  <c r="AN99" i="219"/>
  <c r="AN100" i="219"/>
  <c r="AN101" i="219"/>
  <c r="AN97" i="219"/>
  <c r="AQ159" i="219" l="1"/>
  <c r="AQ89" i="221"/>
  <c r="AQ159" i="221" s="1"/>
  <c r="AN29" i="221"/>
  <c r="I159" i="221"/>
  <c r="AO159" i="221"/>
  <c r="K89" i="219"/>
  <c r="K89" i="221" s="1"/>
  <c r="K159" i="221" s="1"/>
  <c r="D139" i="219"/>
  <c r="D139" i="221" s="1"/>
  <c r="D159" i="221" s="1"/>
  <c r="F139" i="219"/>
  <c r="F139" i="221" s="1"/>
  <c r="F89" i="219"/>
  <c r="F89" i="221" s="1"/>
  <c r="F159" i="221" l="1"/>
  <c r="BC29" i="221"/>
  <c r="AN159" i="221"/>
  <c r="AN89" i="221"/>
  <c r="BC89" i="221" s="1"/>
  <c r="BC159" i="221" s="1"/>
  <c r="BC23" i="219"/>
  <c r="BC28" i="219"/>
  <c r="BC29" i="219"/>
  <c r="BC36" i="219"/>
  <c r="BC37" i="219"/>
  <c r="BC48" i="219"/>
  <c r="BC55" i="219"/>
  <c r="BC64" i="219"/>
  <c r="BC76" i="219"/>
  <c r="BC88" i="219"/>
  <c r="BC99" i="219"/>
  <c r="BC100" i="219"/>
  <c r="BC101" i="219"/>
  <c r="BC112" i="219"/>
  <c r="BC149" i="219"/>
  <c r="AN158" i="219" l="1"/>
  <c r="AN157" i="219"/>
  <c r="AN156" i="219"/>
  <c r="AN155" i="219"/>
  <c r="AN154" i="219"/>
  <c r="AN153" i="219"/>
  <c r="AN152" i="219"/>
  <c r="AN151" i="219"/>
  <c r="AN150" i="219"/>
  <c r="AN148" i="219"/>
  <c r="AN147" i="219"/>
  <c r="AN146" i="219"/>
  <c r="AN145" i="219"/>
  <c r="AN144" i="219"/>
  <c r="AN143" i="219"/>
  <c r="AN142" i="219"/>
  <c r="AN141" i="219"/>
  <c r="AN140" i="219"/>
  <c r="AN139" i="219"/>
  <c r="AN138" i="219"/>
  <c r="AN137" i="219"/>
  <c r="AN136" i="219"/>
  <c r="AN135" i="219"/>
  <c r="AN134" i="219"/>
  <c r="AN133" i="219"/>
  <c r="AN132" i="219"/>
  <c r="AN131" i="219"/>
  <c r="AN130" i="219"/>
  <c r="AN129" i="219"/>
  <c r="AN128" i="219"/>
  <c r="AN127" i="219"/>
  <c r="BC127" i="219" s="1"/>
  <c r="AN126" i="219"/>
  <c r="AN125" i="219"/>
  <c r="BC125" i="219" s="1"/>
  <c r="BB159" i="219"/>
  <c r="BA159" i="219"/>
  <c r="AN124" i="219"/>
  <c r="AN123" i="219"/>
  <c r="AN122" i="219"/>
  <c r="AN121" i="219"/>
  <c r="AN120" i="219"/>
  <c r="AN119" i="219"/>
  <c r="AN118" i="219"/>
  <c r="AN117" i="219"/>
  <c r="BC117" i="219" s="1"/>
  <c r="AN116" i="219"/>
  <c r="AT159" i="219"/>
  <c r="AR159" i="219"/>
  <c r="AN115" i="219"/>
  <c r="AN114" i="219"/>
  <c r="AN113" i="219"/>
  <c r="BC113" i="219" s="1"/>
  <c r="AN108" i="219"/>
  <c r="AN107" i="219"/>
  <c r="AN106" i="219"/>
  <c r="AN105" i="219"/>
  <c r="AN104" i="219"/>
  <c r="AN103" i="219"/>
  <c r="AN102" i="219"/>
  <c r="AN96" i="219"/>
  <c r="AN95" i="219"/>
  <c r="AN94" i="219"/>
  <c r="AN93" i="219"/>
  <c r="AN92" i="219"/>
  <c r="AN91" i="219"/>
  <c r="BC91" i="219" s="1"/>
  <c r="AN90" i="219"/>
  <c r="BC90" i="219" s="1"/>
  <c r="AN89" i="219"/>
  <c r="AN87" i="219"/>
  <c r="AN86" i="219"/>
  <c r="AN85" i="219"/>
  <c r="AN84" i="219"/>
  <c r="BC84" i="219" s="1"/>
  <c r="AN83" i="219"/>
  <c r="AN82" i="219"/>
  <c r="AN81" i="219"/>
  <c r="AN80" i="219"/>
  <c r="AN79" i="219"/>
  <c r="AN78" i="219"/>
  <c r="AN77" i="219"/>
  <c r="AN72" i="219"/>
  <c r="AN71" i="219"/>
  <c r="AN70" i="219"/>
  <c r="BC70" i="219" s="1"/>
  <c r="AN69" i="219"/>
  <c r="AN68" i="219"/>
  <c r="AN67" i="219"/>
  <c r="BC67" i="219" s="1"/>
  <c r="AN66" i="219"/>
  <c r="AN63" i="219"/>
  <c r="AN62" i="219"/>
  <c r="AN61" i="219"/>
  <c r="AN60" i="219"/>
  <c r="AN59" i="219"/>
  <c r="AN58" i="219"/>
  <c r="AN57" i="219"/>
  <c r="AN56" i="219"/>
  <c r="AN54" i="219"/>
  <c r="AN53" i="219"/>
  <c r="BC53" i="219" s="1"/>
  <c r="AN52" i="219"/>
  <c r="AN51" i="219"/>
  <c r="AN50" i="219"/>
  <c r="AN49" i="219"/>
  <c r="AN43" i="219"/>
  <c r="AN42" i="219"/>
  <c r="AN41" i="219"/>
  <c r="AN40" i="219"/>
  <c r="AN39" i="219"/>
  <c r="AN38" i="219"/>
  <c r="AZ159" i="219"/>
  <c r="AY159" i="219"/>
  <c r="AX159" i="219"/>
  <c r="BC35" i="219"/>
  <c r="BC32" i="219"/>
  <c r="AN25" i="219"/>
  <c r="AN24" i="219"/>
  <c r="AP159" i="219"/>
  <c r="AN22" i="219"/>
  <c r="AN21" i="219"/>
  <c r="AN20" i="219"/>
  <c r="AN19" i="219"/>
  <c r="AN18" i="219"/>
  <c r="AN17" i="219"/>
  <c r="AN16" i="219"/>
  <c r="AN15" i="219"/>
  <c r="AN14" i="219"/>
  <c r="AN13" i="219"/>
  <c r="BC13" i="219" s="1"/>
  <c r="AN12" i="219"/>
  <c r="AN11" i="219"/>
  <c r="AN10" i="219"/>
  <c r="AN9" i="219"/>
  <c r="AN8" i="219"/>
  <c r="AN7" i="219"/>
  <c r="AN6" i="219"/>
  <c r="BC6" i="219" s="1"/>
  <c r="AW159" i="219"/>
  <c r="AV159" i="219"/>
  <c r="AU159" i="219"/>
  <c r="AS159" i="219"/>
  <c r="AM159" i="219"/>
  <c r="AL159" i="219"/>
  <c r="AK159" i="219"/>
  <c r="AJ159" i="219"/>
  <c r="AI159" i="219"/>
  <c r="AH159" i="219"/>
  <c r="AG159" i="219"/>
  <c r="AF159" i="219"/>
  <c r="AE159" i="219"/>
  <c r="AD159" i="219"/>
  <c r="AC159" i="219"/>
  <c r="AB159" i="219"/>
  <c r="AA159" i="219"/>
  <c r="Z159" i="219"/>
  <c r="Y159" i="219"/>
  <c r="X159" i="219"/>
  <c r="W159" i="219"/>
  <c r="V159" i="219"/>
  <c r="U159" i="219"/>
  <c r="T159" i="219"/>
  <c r="S159" i="219"/>
  <c r="R159" i="219"/>
  <c r="Q159" i="219"/>
  <c r="P159" i="219"/>
  <c r="O159" i="219"/>
  <c r="N159" i="219"/>
  <c r="M159" i="219"/>
  <c r="L159" i="219"/>
  <c r="K159" i="219"/>
  <c r="J159" i="219"/>
  <c r="I159" i="219"/>
  <c r="H159" i="219"/>
  <c r="G159" i="219"/>
  <c r="F159" i="219"/>
  <c r="E159" i="219"/>
  <c r="D159" i="219"/>
  <c r="BC108" i="219" l="1"/>
  <c r="BC148" i="219"/>
  <c r="BC156" i="219"/>
  <c r="BC14" i="219"/>
  <c r="BC22" i="219"/>
  <c r="BC40" i="219"/>
  <c r="BC63" i="219"/>
  <c r="BC78" i="219"/>
  <c r="BC85" i="219"/>
  <c r="BC109" i="219"/>
  <c r="BC121" i="219"/>
  <c r="BC126" i="219"/>
  <c r="BC133" i="219"/>
  <c r="BC141" i="219"/>
  <c r="BC157" i="219"/>
  <c r="BC7" i="219"/>
  <c r="BC15" i="219"/>
  <c r="BC30" i="219"/>
  <c r="BC41" i="219"/>
  <c r="BC49" i="219"/>
  <c r="BC56" i="219"/>
  <c r="BC71" i="219"/>
  <c r="BC79" i="219"/>
  <c r="BC86" i="219"/>
  <c r="BC92" i="219"/>
  <c r="BC102" i="219"/>
  <c r="BC110" i="219"/>
  <c r="BC122" i="219"/>
  <c r="BC134" i="219"/>
  <c r="BC150" i="219"/>
  <c r="BC158" i="219"/>
  <c r="BC47" i="219"/>
  <c r="BC115" i="219"/>
  <c r="BC8" i="219"/>
  <c r="BC16" i="219"/>
  <c r="BC31" i="219"/>
  <c r="BC42" i="219"/>
  <c r="BC50" i="219"/>
  <c r="BC57" i="219"/>
  <c r="BC65" i="219"/>
  <c r="BC72" i="219"/>
  <c r="BC80" i="219"/>
  <c r="BC87" i="219"/>
  <c r="BC93" i="219"/>
  <c r="BC103" i="219"/>
  <c r="BC111" i="219"/>
  <c r="BC116" i="219"/>
  <c r="BC123" i="219"/>
  <c r="BC135" i="219"/>
  <c r="BC143" i="219"/>
  <c r="BC151" i="219"/>
  <c r="BC39" i="219"/>
  <c r="BC140" i="219"/>
  <c r="BC17" i="219"/>
  <c r="BC24" i="219"/>
  <c r="BC43" i="219"/>
  <c r="BC51" i="219"/>
  <c r="BC58" i="219"/>
  <c r="BC66" i="219"/>
  <c r="BC73" i="219"/>
  <c r="BC81" i="219"/>
  <c r="BC104" i="219"/>
  <c r="BC124" i="219"/>
  <c r="BC128" i="219"/>
  <c r="BC136" i="219"/>
  <c r="BC144" i="219"/>
  <c r="BC152" i="219"/>
  <c r="BC54" i="219"/>
  <c r="BC132" i="219"/>
  <c r="BC9" i="219"/>
  <c r="BC10" i="219"/>
  <c r="BC18" i="219"/>
  <c r="BC25" i="219"/>
  <c r="BC44" i="219"/>
  <c r="BC52" i="219"/>
  <c r="BC59" i="219"/>
  <c r="BC74" i="219"/>
  <c r="BC82" i="219"/>
  <c r="BC105" i="219"/>
  <c r="BC129" i="219"/>
  <c r="BC137" i="219"/>
  <c r="BC145" i="219"/>
  <c r="BC153" i="219"/>
  <c r="BC21" i="219"/>
  <c r="BC77" i="219"/>
  <c r="BC11" i="219"/>
  <c r="BC19" i="219"/>
  <c r="BC26" i="219"/>
  <c r="BC33" i="219"/>
  <c r="BC45" i="219"/>
  <c r="BC60" i="219"/>
  <c r="BC68" i="219"/>
  <c r="BC75" i="219"/>
  <c r="BC83" i="219"/>
  <c r="BC106" i="219"/>
  <c r="BC118" i="219"/>
  <c r="BC130" i="219"/>
  <c r="BC146" i="219"/>
  <c r="BC154" i="219"/>
  <c r="BC62" i="219"/>
  <c r="BC120" i="219"/>
  <c r="BC12" i="219"/>
  <c r="BC20" i="219"/>
  <c r="BC27" i="219"/>
  <c r="BC34" i="219"/>
  <c r="BC38" i="219"/>
  <c r="BC46" i="219"/>
  <c r="BC61" i="219"/>
  <c r="BC69" i="219"/>
  <c r="BC107" i="219"/>
  <c r="BC114" i="219"/>
  <c r="BC119" i="219"/>
  <c r="BC131" i="219"/>
  <c r="BC147" i="219"/>
  <c r="BC155" i="219"/>
  <c r="BC94" i="219"/>
  <c r="BC95" i="219"/>
  <c r="BC98" i="219"/>
  <c r="BC96" i="219"/>
  <c r="BC97" i="219"/>
  <c r="BC89" i="219"/>
  <c r="BC142" i="219"/>
  <c r="BC139" i="219"/>
  <c r="BC138" i="219"/>
  <c r="AN5" i="219"/>
  <c r="BC5" i="219" s="1"/>
  <c r="BC159" i="219" l="1"/>
  <c r="AN159" i="219"/>
</calcChain>
</file>

<file path=xl/sharedStrings.xml><?xml version="1.0" encoding="utf-8"?>
<sst xmlns="http://schemas.openxmlformats.org/spreadsheetml/2006/main" count="813" uniqueCount="196">
  <si>
    <t>Амбулаторная помощь</t>
  </si>
  <si>
    <t>Стационарная помощь</t>
  </si>
  <si>
    <t>Дневной стационар</t>
  </si>
  <si>
    <t>Стоматология</t>
  </si>
  <si>
    <t>Скорая помощь</t>
  </si>
  <si>
    <t>Итого</t>
  </si>
  <si>
    <t>Посещения</t>
  </si>
  <si>
    <t>Финансирование</t>
  </si>
  <si>
    <t>Законченный случай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</si>
  <si>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</si>
  <si>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</si>
  <si>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</si>
  <si>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</si>
  <si>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</si>
  <si>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</si>
  <si>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</si>
  <si>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ОГБУЗ "Облученская РБ"</t>
  </si>
  <si>
    <t>ОГБУЗ "Теплоозерская ЦРБ"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</si>
  <si>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</si>
  <si>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</si>
  <si>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</si>
  <si>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</si>
  <si>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</si>
  <si>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ООО "МДЦ "Тафи - Диагностика"</t>
  </si>
  <si>
    <t>ООО " Юнилаб-Хабаровск"</t>
  </si>
  <si>
    <t>УЕТ</t>
  </si>
  <si>
    <t>Высокотехнологичная медицинская помощь</t>
  </si>
  <si>
    <t>Наименование МО</t>
  </si>
  <si>
    <t>№ п/п</t>
  </si>
  <si>
    <t>Финансирование услуг</t>
  </si>
  <si>
    <t>Вызова СМП</t>
  </si>
  <si>
    <t>ООО "МДЦ "Нефролайн"</t>
  </si>
  <si>
    <t>структурное подразделение на станции г. Облучье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</si>
  <si>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</si>
  <si>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</si>
  <si>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</si>
  <si>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</si>
  <si>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</si>
  <si>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</si>
  <si>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</si>
  <si>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</si>
  <si>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</si>
  <si>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</si>
  <si>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</si>
  <si>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</si>
  <si>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</si>
  <si>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</si>
  <si>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</si>
  <si>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</si>
  <si>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</si>
  <si>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</si>
  <si>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</si>
  <si>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</si>
  <si>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</si>
  <si>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</si>
  <si>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</si>
  <si>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Обследования призывников</t>
  </si>
  <si>
    <t>ООО "Диагностический центр "Исида"</t>
  </si>
  <si>
    <t>Финансирование по диспансеризации</t>
  </si>
  <si>
    <t>Услуги</t>
  </si>
  <si>
    <t>Флюорография</t>
  </si>
  <si>
    <t>ООО МЛ "Премьер"</t>
  </si>
  <si>
    <t>ООО "МДЦ"</t>
  </si>
  <si>
    <t>ИП Вергилес Александр Яковлевич</t>
  </si>
  <si>
    <t>ООО "Клиника Эксперт Хабаровск"</t>
  </si>
  <si>
    <t>ЧУЗ "КБ "РЖД-Медицина" г. Хабаровск"</t>
  </si>
  <si>
    <t>Комплексное посщение по диспансеризации</t>
  </si>
  <si>
    <t>Комплексное посщение по профилактическим осмотрам</t>
  </si>
  <si>
    <t>Финансирование по профилактическим осмотрам</t>
  </si>
  <si>
    <t>Посещения по неотложной медицинской помощи</t>
  </si>
  <si>
    <t>Финансирование по неотложной медицинской помощи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</si>
  <si>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</si>
  <si>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</si>
  <si>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</si>
  <si>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</si>
  <si>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</si>
  <si>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Обращение</t>
  </si>
  <si>
    <t>гр.27</t>
  </si>
  <si>
    <t>гр.28</t>
  </si>
  <si>
    <t>гр.29</t>
  </si>
  <si>
    <t>Финансирование ФАПов</t>
  </si>
  <si>
    <t>гр.30</t>
  </si>
  <si>
    <t>гр.31</t>
  </si>
  <si>
    <t>гр.32</t>
  </si>
  <si>
    <t>Посещения в ФАПах</t>
  </si>
  <si>
    <t>Обращения в ФАПах</t>
  </si>
  <si>
    <t>Обследование призывников</t>
  </si>
  <si>
    <t>Забор материала для проведения анализа на COVID-19</t>
  </si>
  <si>
    <t>ООО "МЦОГИХ - САНУС"</t>
  </si>
  <si>
    <t>Финансирование по посещениям или по подушевому нормативу</t>
  </si>
  <si>
    <t>Финансирование по обращениям или по подушевому нормативу</t>
  </si>
  <si>
    <t>СКТ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</si>
  <si>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</si>
  <si>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 xml:space="preserve">МРТ </t>
  </si>
  <si>
    <t xml:space="preserve">СКТ </t>
  </si>
  <si>
    <t>МРТ</t>
  </si>
  <si>
    <t>ООО "Добрый доктор"</t>
  </si>
  <si>
    <t>НМП в ФАПах</t>
  </si>
  <si>
    <t>гр.33</t>
  </si>
  <si>
    <t>ООО "Хабаровский центр хирургии глаза"</t>
  </si>
  <si>
    <t>Диализ</t>
  </si>
  <si>
    <t>ООО "ЛДЦ "ЛЦИ"</t>
  </si>
  <si>
    <t>ООО "ВитаЛаб"</t>
  </si>
  <si>
    <t>Комплексное посщение по углубленной диспансеризации</t>
  </si>
  <si>
    <t>гр.34</t>
  </si>
  <si>
    <t>гр.35</t>
  </si>
  <si>
    <t>Финансирование по углубленной диспансеризации</t>
  </si>
  <si>
    <t>ОГБУЗ "Центр профилактики и борьбы со СПИД"</t>
  </si>
  <si>
    <t>тромболитическая терапия</t>
  </si>
  <si>
    <t>гр.36</t>
  </si>
  <si>
    <t>гр.37</t>
  </si>
  <si>
    <t>Суточное мониторирование артериального давления</t>
  </si>
  <si>
    <t>Холтеровское мониторирование сердечного ритма</t>
  </si>
  <si>
    <t>Код МО</t>
  </si>
  <si>
    <t>Объемы по диспансерному наблюдению</t>
  </si>
  <si>
    <t>Финансирование по диспансерному наблюдению</t>
  </si>
  <si>
    <t>гр.38</t>
  </si>
  <si>
    <t>ООО "Лабост"</t>
  </si>
  <si>
    <t>ООО "Афина"</t>
  </si>
  <si>
    <t>в т.ч. по профилю "Онкология"</t>
  </si>
  <si>
    <t>ИП Калинина Лариса Валерьевна</t>
  </si>
  <si>
    <t>в т.ч. коронарография</t>
  </si>
  <si>
    <t>ООО "ДЦ "Лекарь"</t>
  </si>
  <si>
    <t>ФКУЗ "МСЧ МВД России по Еврейской автономной области"</t>
  </si>
  <si>
    <t>ООО "МЦ "Андромеда"</t>
  </si>
  <si>
    <t>КГБУЗ ДККБ</t>
  </si>
  <si>
    <t>Обращения</t>
  </si>
  <si>
    <t>ООО "ЮНИМ-Сибирь"</t>
  </si>
  <si>
    <t>Комплексное посщение по диспансеризации репродуктивного возраста</t>
  </si>
  <si>
    <t>Финансирование по диспансеризации репродуктивного возраста</t>
  </si>
  <si>
    <t>Объемы по диспансерному наблюдению онкологических заболеваний</t>
  </si>
  <si>
    <t>Финансирование по диспансерному наблюдению онкологических заболеваний</t>
  </si>
  <si>
    <t>Объемы по диспансерному наблюдению сахарного диабета</t>
  </si>
  <si>
    <t>Финансирование по диспансерному наблюдению сахарного диабета</t>
  </si>
  <si>
    <t>Объемы по диспансерному болезней системы кровобращения</t>
  </si>
  <si>
    <t>Финансирование по диспансерному болезней системы крообращения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</si>
  <si>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</si>
  <si>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</si>
  <si>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</si>
  <si>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</si>
  <si>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</si>
  <si>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</si>
  <si>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</si>
  <si>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</si>
  <si>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Посещения в ФАПах/ Здравпункты</t>
  </si>
  <si>
    <t>Обращения в ФАПах/ Здравпункты</t>
  </si>
  <si>
    <t>НМП в ФАПах/ Здравпункты</t>
  </si>
  <si>
    <t>Финансирование ФАПов/ Здравпунктов</t>
  </si>
  <si>
    <t>Результативность</t>
  </si>
  <si>
    <t>Финансирование по подушевому нормативу по профилю АиГ</t>
  </si>
  <si>
    <t>Посещения по профилю  АиГ</t>
  </si>
  <si>
    <t>Обращения по профилю АиГ</t>
  </si>
  <si>
    <t>гр.47</t>
  </si>
  <si>
    <t>гр.48</t>
  </si>
  <si>
    <t>гр.49</t>
  </si>
  <si>
    <t>гр.50</t>
  </si>
  <si>
    <t>Объемы по диспансерному наблюдению болезней системы кровообращения</t>
  </si>
  <si>
    <t>Комплексное посещение по диспансеризации</t>
  </si>
  <si>
    <t>Комплексное посещение по углубленной диспансеризации</t>
  </si>
  <si>
    <t>Комплексное посещение по диспансеризации репродуктивного возраста</t>
  </si>
  <si>
    <t>Комплексное посещение по профилактическим осмотрам</t>
  </si>
  <si>
    <t>Финансирование по диспансерному наблюдению болезней системы кровообращения</t>
  </si>
  <si>
    <t>Финансирование  по обращениям по подушевому нормативу по профилю АиГ</t>
  </si>
  <si>
    <t>Финансирование по посещения по подушевому нормативу по профилю АиГ</t>
  </si>
  <si>
    <t>гр.51</t>
  </si>
  <si>
    <t>Объемы по школам с хроническими заболеваниями</t>
  </si>
  <si>
    <t>Финансирование по школам с хроническими заболеваниями</t>
  </si>
  <si>
    <t>Объемы по школам сахарного диабета</t>
  </si>
  <si>
    <t>Финансирование по школам сахарного диабета</t>
  </si>
  <si>
    <t>гр.52</t>
  </si>
  <si>
    <t>гр.53</t>
  </si>
  <si>
    <t>гр.54</t>
  </si>
  <si>
    <t>АО "Медицина"</t>
  </si>
  <si>
    <t>ООО "Гемотест Восток"</t>
  </si>
  <si>
    <t>ООО "РЦ "Гербер"</t>
  </si>
  <si>
    <t>гр.55</t>
  </si>
  <si>
    <t>Медицинская реабилитация</t>
  </si>
  <si>
    <t xml:space="preserve">Посещения неприкрепленного населения, выполняемые мобильными бригадами </t>
  </si>
  <si>
    <t>Селективная гемосорбция липополисахаридов</t>
  </si>
  <si>
    <t>Центр Здоровья</t>
  </si>
  <si>
    <t>Иной межбюджетный трансферт по распоряжению Правительства РФ от 28.03.2025 № 748-р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</si>
  <si>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</si>
  <si>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</si>
  <si>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Медицинская помощь по профилю "Эндокринология"</t>
  </si>
  <si>
    <t>Исследования для диагностики заболеваний глаза, его придаточного аппарата и орбиты</t>
  </si>
  <si>
    <t>УЗИ кроме УЗИ сердечно-сосудистой системы</t>
  </si>
  <si>
    <t xml:space="preserve">в т.ч. имплантация частотно–адаптированного кардиостимулятора взрослым </t>
  </si>
  <si>
    <t>Маммография, выполняемая в мобильных медицинских комплексах</t>
  </si>
  <si>
    <t>в т.ч. стентирование коронарных артерий</t>
  </si>
  <si>
    <t>в т.ч. стентирование коронарных артерий (ВМП)</t>
  </si>
  <si>
    <t>в т.ч. госпитализация маломобильных граждан в целях прохождения диспансеризации</t>
  </si>
  <si>
    <t>из них госпитализация участников СВО</t>
  </si>
  <si>
    <t>Определение РНК коронавируса ТОРС(SARS-cov) в мазках со слизистой оболочки носоглотки и ротоглотки методом ПЦР</t>
  </si>
  <si>
    <t>Итого с 01.12.2025</t>
  </si>
  <si>
    <t>Среднегодовая на 2025 год (под фактическое исполнение)</t>
  </si>
  <si>
    <t>Среднегодовая на 2025 год по инообластным (под фактическое исполнение)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</si>
</sst>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000"/>
    <numFmt numFmtId="167" formatCode="dd\.mm\.yyyy"/>
    <numFmt numFmtId="168" formatCode="_-* #,##0\ _₽_-;\-* #,##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01">
    <xf numFmtId="0" fontId="0" fillId="0" borderId="0" xfId="0"/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/>
    <xf numFmtId="3" fontId="2" fillId="0" borderId="38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3" fontId="2" fillId="0" borderId="62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6" fillId="0" borderId="42" xfId="0" applyFont="1" applyFill="1" applyBorder="1" applyAlignment="1">
      <alignment vertical="center"/>
    </xf>
    <xf numFmtId="0" fontId="2" fillId="0" borderId="43" xfId="0" applyFont="1" applyFill="1" applyBorder="1" applyAlignment="1">
      <alignment vertical="center"/>
    </xf>
    <xf numFmtId="0" fontId="6" fillId="0" borderId="53" xfId="0" applyFont="1" applyFill="1" applyBorder="1" applyAlignment="1">
      <alignment vertical="center" wrapText="1"/>
    </xf>
    <xf numFmtId="0" fontId="6" fillId="0" borderId="53" xfId="0" applyFont="1" applyFill="1" applyBorder="1" applyAlignment="1">
      <alignment vertical="center"/>
    </xf>
    <xf numFmtId="0" fontId="6" fillId="0" borderId="53" xfId="9" applyFont="1" applyFill="1" applyBorder="1" applyAlignment="1">
      <alignment vertical="center" wrapText="1"/>
    </xf>
    <xf numFmtId="0" fontId="6" fillId="0" borderId="47" xfId="0" applyFont="1" applyFill="1" applyBorder="1" applyAlignment="1">
      <alignment vertical="center" wrapText="1"/>
    </xf>
    <xf numFmtId="0" fontId="6" fillId="0" borderId="54" xfId="0" applyFont="1" applyFill="1" applyBorder="1" applyAlignment="1">
      <alignment vertical="center" wrapText="1"/>
    </xf>
    <xf numFmtId="0" fontId="2" fillId="0" borderId="39" xfId="0" applyFont="1" applyFill="1" applyBorder="1" applyAlignment="1">
      <alignment wrapText="1"/>
    </xf>
    <xf numFmtId="0" fontId="2" fillId="0" borderId="48" xfId="0" applyFont="1" applyFill="1" applyBorder="1" applyAlignment="1">
      <alignment wrapText="1"/>
    </xf>
    <xf numFmtId="3" fontId="2" fillId="0" borderId="52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center"/>
    </xf>
    <xf numFmtId="3" fontId="12" fillId="0" borderId="2" xfId="0" applyNumberFormat="1" applyFont="1" applyFill="1" applyBorder="1" applyAlignment="1">
      <alignment horizontal="center"/>
    </xf>
    <xf numFmtId="3" fontId="11" fillId="0" borderId="2" xfId="0" applyNumberFormat="1" applyFont="1" applyFill="1" applyBorder="1" applyAlignment="1">
      <alignment horizontal="center"/>
    </xf>
    <xf numFmtId="3" fontId="12" fillId="0" borderId="4" xfId="0" applyNumberFormat="1" applyFont="1" applyFill="1" applyBorder="1" applyAlignment="1">
      <alignment horizontal="center"/>
    </xf>
    <xf numFmtId="3" fontId="11" fillId="0" borderId="4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1" fillId="0" borderId="7" xfId="0" applyNumberFormat="1" applyFont="1" applyFill="1" applyBorder="1" applyAlignment="1">
      <alignment horizontal="center"/>
    </xf>
    <xf numFmtId="3" fontId="12" fillId="0" borderId="28" xfId="0" applyNumberFormat="1" applyFont="1" applyFill="1" applyBorder="1" applyAlignment="1">
      <alignment horizontal="center"/>
    </xf>
    <xf numFmtId="3" fontId="11" fillId="0" borderId="23" xfId="0" applyNumberFormat="1" applyFont="1" applyFill="1" applyBorder="1" applyAlignment="1">
      <alignment horizontal="center"/>
    </xf>
    <xf numFmtId="3" fontId="11" fillId="0" borderId="29" xfId="0" applyNumberFormat="1" applyFont="1" applyFill="1" applyBorder="1" applyAlignment="1">
      <alignment horizontal="center"/>
    </xf>
    <xf numFmtId="3" fontId="11" fillId="0" borderId="35" xfId="0" applyNumberFormat="1" applyFont="1" applyFill="1" applyBorder="1" applyAlignment="1">
      <alignment horizontal="center"/>
    </xf>
    <xf numFmtId="3" fontId="11" fillId="0" borderId="31" xfId="0" applyNumberFormat="1" applyFont="1" applyFill="1" applyBorder="1" applyAlignment="1">
      <alignment horizontal="center"/>
    </xf>
    <xf numFmtId="3" fontId="11" fillId="0" borderId="13" xfId="0" applyNumberFormat="1" applyFont="1" applyFill="1" applyBorder="1" applyAlignment="1">
      <alignment horizontal="center"/>
    </xf>
    <xf numFmtId="3" fontId="11" fillId="0" borderId="5" xfId="0" applyNumberFormat="1" applyFont="1" applyFill="1" applyBorder="1" applyAlignment="1">
      <alignment horizontal="center"/>
    </xf>
    <xf numFmtId="3" fontId="12" fillId="0" borderId="15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11" fillId="0" borderId="15" xfId="0" applyNumberFormat="1" applyFont="1" applyFill="1" applyBorder="1" applyAlignment="1">
      <alignment horizontal="center"/>
    </xf>
    <xf numFmtId="3" fontId="11" fillId="0" borderId="6" xfId="0" applyNumberFormat="1" applyFont="1" applyFill="1" applyBorder="1" applyAlignment="1">
      <alignment horizontal="center"/>
    </xf>
    <xf numFmtId="3" fontId="11" fillId="0" borderId="14" xfId="0" applyNumberFormat="1" applyFont="1" applyFill="1" applyBorder="1" applyAlignment="1">
      <alignment horizontal="center"/>
    </xf>
    <xf numFmtId="3" fontId="11" fillId="0" borderId="8" xfId="0" applyNumberFormat="1" applyFont="1" applyFill="1" applyBorder="1" applyAlignment="1">
      <alignment horizontal="center"/>
    </xf>
    <xf numFmtId="3" fontId="11" fillId="0" borderId="24" xfId="0" applyNumberFormat="1" applyFont="1" applyFill="1" applyBorder="1" applyAlignment="1">
      <alignment horizontal="center"/>
    </xf>
    <xf numFmtId="3" fontId="11" fillId="0" borderId="25" xfId="0" applyNumberFormat="1" applyFont="1" applyFill="1" applyBorder="1" applyAlignment="1">
      <alignment horizontal="center"/>
    </xf>
    <xf numFmtId="3" fontId="11" fillId="0" borderId="32" xfId="0" applyNumberFormat="1" applyFont="1" applyFill="1" applyBorder="1" applyAlignment="1">
      <alignment horizontal="center"/>
    </xf>
    <xf numFmtId="3" fontId="11" fillId="0" borderId="28" xfId="0" applyNumberFormat="1" applyFont="1" applyFill="1" applyBorder="1" applyAlignment="1">
      <alignment horizontal="center"/>
    </xf>
    <xf numFmtId="3" fontId="11" fillId="0" borderId="33" xfId="0" applyNumberFormat="1" applyFont="1" applyFill="1" applyBorder="1" applyAlignment="1">
      <alignment horizontal="center"/>
    </xf>
    <xf numFmtId="3" fontId="11" fillId="0" borderId="58" xfId="0" applyNumberFormat="1" applyFont="1" applyFill="1" applyBorder="1" applyAlignment="1">
      <alignment horizontal="center"/>
    </xf>
    <xf numFmtId="3" fontId="12" fillId="0" borderId="29" xfId="0" applyNumberFormat="1" applyFont="1" applyFill="1" applyBorder="1" applyAlignment="1">
      <alignment horizontal="center"/>
    </xf>
    <xf numFmtId="3" fontId="12" fillId="0" borderId="14" xfId="0" applyNumberFormat="1" applyFont="1" applyFill="1" applyBorder="1" applyAlignment="1">
      <alignment horizontal="center"/>
    </xf>
    <xf numFmtId="3" fontId="12" fillId="0" borderId="11" xfId="0" applyNumberFormat="1" applyFont="1" applyFill="1" applyBorder="1" applyAlignment="1">
      <alignment horizontal="center"/>
    </xf>
    <xf numFmtId="3" fontId="11" fillId="0" borderId="10" xfId="0" applyNumberFormat="1" applyFont="1" applyFill="1" applyBorder="1" applyAlignment="1">
      <alignment horizontal="center"/>
    </xf>
    <xf numFmtId="3" fontId="11" fillId="0" borderId="11" xfId="0" applyNumberFormat="1" applyFont="1" applyFill="1" applyBorder="1" applyAlignment="1">
      <alignment horizontal="center"/>
    </xf>
    <xf numFmtId="3" fontId="11" fillId="0" borderId="12" xfId="0" applyNumberFormat="1" applyFont="1" applyFill="1" applyBorder="1" applyAlignment="1">
      <alignment horizontal="center"/>
    </xf>
    <xf numFmtId="3" fontId="11" fillId="0" borderId="27" xfId="0" applyNumberFormat="1" applyFont="1" applyFill="1" applyBorder="1" applyAlignment="1">
      <alignment horizontal="center"/>
    </xf>
    <xf numFmtId="3" fontId="11" fillId="0" borderId="34" xfId="0" applyNumberFormat="1" applyFont="1" applyFill="1" applyBorder="1" applyAlignment="1">
      <alignment horizontal="center"/>
    </xf>
    <xf numFmtId="3" fontId="12" fillId="0" borderId="16" xfId="0" applyNumberFormat="1" applyFont="1" applyFill="1" applyBorder="1" applyAlignment="1">
      <alignment horizontal="center"/>
    </xf>
    <xf numFmtId="3" fontId="11" fillId="0" borderId="18" xfId="0" applyNumberFormat="1" applyFont="1" applyFill="1" applyBorder="1" applyAlignment="1">
      <alignment horizontal="center"/>
    </xf>
    <xf numFmtId="3" fontId="11" fillId="0" borderId="16" xfId="0" applyNumberFormat="1" applyFont="1" applyFill="1" applyBorder="1" applyAlignment="1">
      <alignment horizontal="center"/>
    </xf>
    <xf numFmtId="3" fontId="11" fillId="0" borderId="17" xfId="0" applyNumberFormat="1" applyFont="1" applyFill="1" applyBorder="1" applyAlignment="1">
      <alignment horizontal="center"/>
    </xf>
    <xf numFmtId="3" fontId="11" fillId="0" borderId="30" xfId="0" applyNumberFormat="1" applyFont="1" applyFill="1" applyBorder="1" applyAlignment="1">
      <alignment horizontal="center"/>
    </xf>
    <xf numFmtId="3" fontId="11" fillId="0" borderId="60" xfId="0" applyNumberFormat="1" applyFont="1" applyFill="1" applyBorder="1" applyAlignment="1">
      <alignment horizontal="center"/>
    </xf>
    <xf numFmtId="3" fontId="12" fillId="0" borderId="19" xfId="0" applyNumberFormat="1" applyFont="1" applyFill="1" applyBorder="1" applyAlignment="1">
      <alignment horizontal="center"/>
    </xf>
    <xf numFmtId="3" fontId="11" fillId="0" borderId="20" xfId="0" applyNumberFormat="1" applyFont="1" applyFill="1" applyBorder="1" applyAlignment="1">
      <alignment horizontal="center"/>
    </xf>
    <xf numFmtId="3" fontId="11" fillId="0" borderId="19" xfId="0" applyNumberFormat="1" applyFont="1" applyFill="1" applyBorder="1" applyAlignment="1">
      <alignment horizontal="center"/>
    </xf>
    <xf numFmtId="3" fontId="11" fillId="0" borderId="21" xfId="0" applyNumberFormat="1" applyFont="1" applyFill="1" applyBorder="1" applyAlignment="1">
      <alignment horizontal="center"/>
    </xf>
    <xf numFmtId="3" fontId="11" fillId="0" borderId="22" xfId="0" applyNumberFormat="1" applyFont="1" applyFill="1" applyBorder="1" applyAlignment="1">
      <alignment horizontal="center"/>
    </xf>
    <xf numFmtId="3" fontId="11" fillId="0" borderId="59" xfId="0" applyNumberFormat="1" applyFont="1" applyFill="1" applyBorder="1" applyAlignment="1">
      <alignment horizontal="center"/>
    </xf>
    <xf numFmtId="3" fontId="12" fillId="0" borderId="13" xfId="0" applyNumberFormat="1" applyFont="1" applyFill="1" applyBorder="1" applyAlignment="1">
      <alignment horizontal="center"/>
    </xf>
    <xf numFmtId="3" fontId="12" fillId="0" borderId="18" xfId="0" applyNumberFormat="1" applyFont="1" applyFill="1" applyBorder="1" applyAlignment="1">
      <alignment horizontal="center"/>
    </xf>
    <xf numFmtId="3" fontId="12" fillId="0" borderId="24" xfId="0" applyNumberFormat="1" applyFont="1" applyFill="1" applyBorder="1" applyAlignment="1">
      <alignment horizontal="center"/>
    </xf>
    <xf numFmtId="3" fontId="12" fillId="0" borderId="20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6" fillId="0" borderId="0" xfId="0" applyNumberFormat="1" applyFont="1" applyFill="1" applyBorder="1"/>
    <xf numFmtId="3" fontId="2" fillId="0" borderId="0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5" fontId="13" fillId="0" borderId="0" xfId="0" applyNumberFormat="1" applyFont="1" applyFill="1"/>
    <xf numFmtId="3" fontId="2" fillId="0" borderId="50" xfId="0" applyNumberFormat="1" applyFont="1" applyFill="1" applyBorder="1" applyAlignment="1">
      <alignment horizontal="center"/>
    </xf>
    <xf numFmtId="3" fontId="2" fillId="0" borderId="45" xfId="0" applyNumberFormat="1" applyFont="1" applyFill="1" applyBorder="1" applyAlignment="1">
      <alignment horizontal="center"/>
    </xf>
    <xf numFmtId="3" fontId="2" fillId="0" borderId="51" xfId="0" applyNumberFormat="1" applyFont="1" applyFill="1" applyBorder="1" applyAlignment="1">
      <alignment horizontal="center"/>
    </xf>
    <xf numFmtId="3" fontId="2" fillId="0" borderId="49" xfId="0" applyNumberFormat="1" applyFont="1" applyFill="1" applyBorder="1" applyAlignment="1">
      <alignment horizontal="center"/>
    </xf>
    <xf numFmtId="0" fontId="14" fillId="0" borderId="0" xfId="0" applyFont="1" applyFill="1" applyBorder="1"/>
    <xf numFmtId="0" fontId="15" fillId="0" borderId="0" xfId="0" applyFont="1" applyFill="1" applyBorder="1"/>
    <xf numFmtId="0" fontId="14" fillId="0" borderId="0" xfId="0" applyFont="1" applyFill="1" applyBorder="1" applyAlignment="1">
      <alignment horizontal="left"/>
    </xf>
    <xf numFmtId="43" fontId="6" fillId="0" borderId="0" xfId="0" applyNumberFormat="1" applyFont="1" applyFill="1" applyBorder="1"/>
    <xf numFmtId="168" fontId="6" fillId="0" borderId="0" xfId="0" applyNumberFormat="1" applyFont="1" applyFill="1" applyBorder="1"/>
    <xf numFmtId="3" fontId="7" fillId="0" borderId="0" xfId="0" applyNumberFormat="1" applyFont="1" applyFill="1" applyBorder="1"/>
    <xf numFmtId="168" fontId="6" fillId="0" borderId="0" xfId="11" applyNumberFormat="1" applyFont="1" applyFill="1" applyBorder="1"/>
    <xf numFmtId="0" fontId="6" fillId="0" borderId="50" xfId="0" applyFont="1" applyFill="1" applyBorder="1" applyAlignment="1">
      <alignment vertical="center" wrapText="1"/>
    </xf>
    <xf numFmtId="0" fontId="6" fillId="0" borderId="49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wrapText="1"/>
    </xf>
    <xf numFmtId="0" fontId="2" fillId="0" borderId="43" xfId="0" applyFont="1" applyFill="1" applyBorder="1" applyAlignment="1">
      <alignment vertical="center" wrapText="1"/>
    </xf>
    <xf numFmtId="0" fontId="2" fillId="0" borderId="55" xfId="0" applyFont="1" applyFill="1" applyBorder="1" applyAlignment="1">
      <alignment vertical="center"/>
    </xf>
    <xf numFmtId="0" fontId="6" fillId="0" borderId="47" xfId="0" applyFont="1" applyFill="1" applyBorder="1" applyAlignment="1">
      <alignment vertical="center"/>
    </xf>
    <xf numFmtId="3" fontId="11" fillId="0" borderId="37" xfId="0" applyNumberFormat="1" applyFont="1" applyFill="1" applyBorder="1" applyAlignment="1">
      <alignment horizontal="center"/>
    </xf>
    <xf numFmtId="3" fontId="2" fillId="0" borderId="65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/>
    </xf>
    <xf numFmtId="3" fontId="11" fillId="0" borderId="26" xfId="0" applyNumberFormat="1" applyFont="1" applyFill="1" applyBorder="1" applyAlignment="1">
      <alignment horizontal="center"/>
    </xf>
    <xf numFmtId="3" fontId="11" fillId="0" borderId="36" xfId="0" applyNumberFormat="1" applyFont="1" applyFill="1" applyBorder="1" applyAlignment="1">
      <alignment horizontal="center"/>
    </xf>
    <xf numFmtId="3" fontId="11" fillId="0" borderId="61" xfId="0" applyNumberFormat="1" applyFont="1" applyFill="1" applyBorder="1" applyAlignment="1">
      <alignment horizontal="center"/>
    </xf>
    <xf numFmtId="3" fontId="12" fillId="0" borderId="35" xfId="0" applyNumberFormat="1" applyFont="1" applyFill="1" applyBorder="1" applyAlignment="1">
      <alignment horizontal="center"/>
    </xf>
    <xf numFmtId="0" fontId="2" fillId="0" borderId="53" xfId="0" applyFont="1" applyFill="1" applyBorder="1" applyAlignment="1">
      <alignment wrapText="1"/>
    </xf>
    <xf numFmtId="3" fontId="6" fillId="0" borderId="50" xfId="0" applyNumberFormat="1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8" fillId="0" borderId="6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3" fontId="2" fillId="0" borderId="46" xfId="0" applyNumberFormat="1" applyFont="1" applyFill="1" applyBorder="1" applyAlignment="1">
      <alignment horizontal="center"/>
    </xf>
    <xf numFmtId="3" fontId="2" fillId="0" borderId="66" xfId="0" applyNumberFormat="1" applyFont="1" applyFill="1" applyBorder="1" applyAlignment="1">
      <alignment horizontal="center"/>
    </xf>
    <xf numFmtId="3" fontId="11" fillId="0" borderId="40" xfId="0" applyNumberFormat="1" applyFont="1" applyFill="1" applyBorder="1" applyAlignment="1">
      <alignment horizontal="center"/>
    </xf>
    <xf numFmtId="3" fontId="11" fillId="0" borderId="9" xfId="0" applyNumberFormat="1" applyFont="1" applyFill="1" applyBorder="1" applyAlignment="1">
      <alignment horizontal="center"/>
    </xf>
    <xf numFmtId="3" fontId="11" fillId="0" borderId="38" xfId="0" applyNumberFormat="1" applyFont="1" applyFill="1" applyBorder="1" applyAlignment="1">
      <alignment horizontal="center"/>
    </xf>
    <xf numFmtId="0" fontId="2" fillId="0" borderId="45" xfId="0" applyFont="1" applyFill="1" applyBorder="1" applyAlignment="1">
      <alignment vertical="center" wrapText="1"/>
    </xf>
    <xf numFmtId="0" fontId="6" fillId="0" borderId="51" xfId="0" applyFont="1" applyFill="1" applyBorder="1" applyAlignment="1">
      <alignment vertical="center" wrapText="1"/>
    </xf>
    <xf numFmtId="3" fontId="2" fillId="0" borderId="67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0" fontId="2" fillId="0" borderId="43" xfId="0" applyFont="1" applyFill="1" applyBorder="1" applyAlignment="1">
      <alignment wrapText="1"/>
    </xf>
    <xf numFmtId="0" fontId="2" fillId="0" borderId="49" xfId="0" applyFont="1" applyFill="1" applyBorder="1" applyAlignment="1">
      <alignment horizontal="center" vertical="center"/>
    </xf>
    <xf numFmtId="3" fontId="5" fillId="0" borderId="0" xfId="0" applyNumberFormat="1" applyFont="1" applyFill="1" applyBorder="1"/>
    <xf numFmtId="0" fontId="6" fillId="0" borderId="46" xfId="0" applyFont="1" applyFill="1" applyBorder="1" applyAlignment="1">
      <alignment vertical="center"/>
    </xf>
    <xf numFmtId="3" fontId="12" fillId="0" borderId="23" xfId="0" applyNumberFormat="1" applyFont="1" applyFill="1" applyBorder="1" applyAlignment="1">
      <alignment horizontal="center"/>
    </xf>
    <xf numFmtId="0" fontId="2" fillId="0" borderId="66" xfId="0" applyFont="1" applyFill="1" applyBorder="1" applyAlignment="1">
      <alignment wrapText="1"/>
    </xf>
    <xf numFmtId="0" fontId="2" fillId="0" borderId="49" xfId="0" applyFont="1" applyFill="1" applyBorder="1"/>
    <xf numFmtId="3" fontId="2" fillId="0" borderId="27" xfId="0" applyNumberFormat="1" applyFont="1" applyFill="1" applyBorder="1" applyAlignment="1">
      <alignment horizontal="center"/>
    </xf>
    <xf numFmtId="0" fontId="6" fillId="0" borderId="50" xfId="0" applyFont="1" applyFill="1" applyBorder="1" applyAlignment="1">
      <alignment vertical="center"/>
    </xf>
    <xf numFmtId="0" fontId="2" fillId="0" borderId="50" xfId="0" applyFont="1" applyFill="1" applyBorder="1" applyAlignment="1">
      <alignment wrapText="1"/>
    </xf>
    <xf numFmtId="0" fontId="6" fillId="0" borderId="50" xfId="9" applyFont="1" applyFill="1" applyBorder="1" applyAlignment="1">
      <alignment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66" xfId="0" applyFont="1" applyFill="1" applyBorder="1" applyAlignment="1">
      <alignment vertical="center" wrapText="1"/>
    </xf>
    <xf numFmtId="0" fontId="2" fillId="0" borderId="51" xfId="0" applyFont="1" applyFill="1" applyBorder="1" applyAlignment="1">
      <alignment vertical="center" wrapText="1"/>
    </xf>
    <xf numFmtId="0" fontId="2" fillId="0" borderId="39" xfId="0" applyFont="1" applyFill="1" applyBorder="1"/>
    <xf numFmtId="0" fontId="2" fillId="0" borderId="49" xfId="0" applyFont="1" applyFill="1" applyBorder="1" applyAlignment="1">
      <alignment wrapText="1"/>
    </xf>
    <xf numFmtId="3" fontId="12" fillId="0" borderId="22" xfId="0" applyNumberFormat="1" applyFont="1" applyFill="1" applyBorder="1" applyAlignment="1">
      <alignment horizontal="center"/>
    </xf>
    <xf numFmtId="3" fontId="12" fillId="0" borderId="31" xfId="0" applyNumberFormat="1" applyFont="1" applyFill="1" applyBorder="1" applyAlignment="1">
      <alignment horizontal="center"/>
    </xf>
    <xf numFmtId="3" fontId="12" fillId="0" borderId="30" xfId="0" applyNumberFormat="1" applyFont="1" applyFill="1" applyBorder="1" applyAlignment="1">
      <alignment horizontal="center"/>
    </xf>
    <xf numFmtId="0" fontId="2" fillId="0" borderId="65" xfId="0" applyFont="1" applyFill="1" applyBorder="1" applyAlignment="1">
      <alignment vertical="center"/>
    </xf>
    <xf numFmtId="0" fontId="6" fillId="0" borderId="46" xfId="0" applyFont="1" applyFill="1" applyBorder="1" applyAlignment="1">
      <alignment vertical="center" wrapText="1"/>
    </xf>
    <xf numFmtId="0" fontId="2" fillId="0" borderId="45" xfId="0" applyFont="1" applyFill="1" applyBorder="1" applyAlignment="1">
      <alignment vertical="center"/>
    </xf>
    <xf numFmtId="0" fontId="6" fillId="0" borderId="50" xfId="0" applyFont="1" applyFill="1" applyBorder="1" applyAlignment="1">
      <alignment horizontal="left" vertical="center" wrapText="1"/>
    </xf>
    <xf numFmtId="3" fontId="12" fillId="0" borderId="27" xfId="0" applyNumberFormat="1" applyFont="1" applyFill="1" applyBorder="1" applyAlignment="1">
      <alignment horizontal="center"/>
    </xf>
    <xf numFmtId="0" fontId="2" fillId="0" borderId="54" xfId="0" applyFont="1" applyFill="1" applyBorder="1" applyAlignment="1">
      <alignment vertical="center" wrapText="1"/>
    </xf>
    <xf numFmtId="0" fontId="2" fillId="0" borderId="4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/>
    </xf>
    <xf numFmtId="0" fontId="6" fillId="0" borderId="52" xfId="0" applyFont="1" applyFill="1" applyBorder="1" applyAlignment="1">
      <alignment vertical="center"/>
    </xf>
    <xf numFmtId="168" fontId="5" fillId="0" borderId="0" xfId="11" applyNumberFormat="1" applyFont="1" applyFill="1" applyBorder="1"/>
    <xf numFmtId="168" fontId="5" fillId="0" borderId="0" xfId="0" applyNumberFormat="1" applyFont="1" applyFill="1" applyBorder="1"/>
    <xf numFmtId="43" fontId="5" fillId="0" borderId="0" xfId="11" applyFont="1" applyFill="1" applyBorder="1"/>
    <xf numFmtId="43" fontId="5" fillId="0" borderId="0" xfId="0" applyNumberFormat="1" applyFont="1" applyFill="1" applyBorder="1"/>
    <xf numFmtId="0" fontId="2" fillId="0" borderId="39" xfId="0" applyFont="1" applyFill="1" applyBorder="1" applyAlignment="1">
      <alignment vertical="center" wrapText="1"/>
    </xf>
    <xf numFmtId="3" fontId="12" fillId="0" borderId="17" xfId="0" applyNumberFormat="1" applyFont="1" applyFill="1" applyBorder="1" applyAlignment="1">
      <alignment horizontal="center"/>
    </xf>
    <xf numFmtId="3" fontId="6" fillId="0" borderId="46" xfId="0" applyNumberFormat="1" applyFont="1" applyFill="1" applyBorder="1" applyAlignment="1">
      <alignment horizontal="center"/>
    </xf>
    <xf numFmtId="0" fontId="2" fillId="0" borderId="39" xfId="0" applyFont="1" applyFill="1" applyBorder="1" applyAlignment="1">
      <alignment vertical="center"/>
    </xf>
    <xf numFmtId="1" fontId="11" fillId="0" borderId="66" xfId="9" applyNumberFormat="1" applyFont="1" applyFill="1" applyBorder="1" applyAlignment="1">
      <alignment wrapText="1"/>
    </xf>
    <xf numFmtId="0" fontId="2" fillId="0" borderId="44" xfId="0" applyFont="1" applyFill="1" applyBorder="1" applyAlignment="1">
      <alignment wrapText="1"/>
    </xf>
    <xf numFmtId="3" fontId="12" fillId="0" borderId="26" xfId="0" applyNumberFormat="1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1" fontId="11" fillId="0" borderId="49" xfId="9" applyNumberFormat="1" applyFont="1" applyFill="1" applyBorder="1" applyAlignment="1">
      <alignment wrapText="1"/>
    </xf>
    <xf numFmtId="0" fontId="6" fillId="0" borderId="39" xfId="0" applyFont="1" applyFill="1" applyBorder="1" applyAlignment="1">
      <alignment vertical="center"/>
    </xf>
    <xf numFmtId="3" fontId="11" fillId="0" borderId="69" xfId="0" applyNumberFormat="1" applyFont="1" applyFill="1" applyBorder="1" applyAlignment="1">
      <alignment horizontal="center"/>
    </xf>
    <xf numFmtId="3" fontId="11" fillId="0" borderId="63" xfId="0" applyNumberFormat="1" applyFont="1" applyFill="1" applyBorder="1" applyAlignment="1">
      <alignment horizontal="center"/>
    </xf>
    <xf numFmtId="3" fontId="11" fillId="0" borderId="71" xfId="0" applyNumberFormat="1" applyFont="1" applyFill="1" applyBorder="1" applyAlignment="1">
      <alignment horizontal="center"/>
    </xf>
    <xf numFmtId="3" fontId="11" fillId="0" borderId="64" xfId="0" applyNumberFormat="1" applyFont="1" applyFill="1" applyBorder="1" applyAlignment="1">
      <alignment horizontal="center"/>
    </xf>
    <xf numFmtId="3" fontId="11" fillId="0" borderId="68" xfId="0" applyNumberFormat="1" applyFont="1" applyFill="1" applyBorder="1" applyAlignment="1">
      <alignment horizontal="center"/>
    </xf>
    <xf numFmtId="3" fontId="11" fillId="0" borderId="70" xfId="0" applyNumberFormat="1" applyFont="1" applyFill="1" applyBorder="1" applyAlignment="1">
      <alignment horizontal="center"/>
    </xf>
    <xf numFmtId="3" fontId="12" fillId="0" borderId="63" xfId="0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/>
    </xf>
    <xf numFmtId="3" fontId="11" fillId="0" borderId="56" xfId="0" applyNumberFormat="1" applyFont="1" applyFill="1" applyBorder="1" applyAlignment="1">
      <alignment horizontal="center"/>
    </xf>
    <xf numFmtId="0" fontId="6" fillId="0" borderId="55" xfId="0" applyFont="1" applyFill="1" applyBorder="1" applyAlignment="1">
      <alignment vertical="center" wrapText="1"/>
    </xf>
    <xf numFmtId="167" fontId="11" fillId="0" borderId="39" xfId="0" applyNumberFormat="1" applyFont="1" applyFill="1" applyBorder="1" applyAlignment="1">
      <alignment wrapText="1"/>
    </xf>
    <xf numFmtId="1" fontId="11" fillId="0" borderId="39" xfId="9" applyNumberFormat="1" applyFont="1" applyFill="1" applyBorder="1" applyAlignment="1">
      <alignment wrapText="1"/>
    </xf>
    <xf numFmtId="1" fontId="11" fillId="0" borderId="48" xfId="9" applyNumberFormat="1" applyFont="1" applyFill="1" applyBorder="1" applyAlignment="1">
      <alignment wrapText="1"/>
    </xf>
    <xf numFmtId="0" fontId="2" fillId="0" borderId="49" xfId="0" applyFont="1" applyFill="1" applyBorder="1" applyAlignment="1">
      <alignment vertical="center"/>
    </xf>
    <xf numFmtId="3" fontId="12" fillId="0" borderId="61" xfId="0" applyNumberFormat="1" applyFont="1" applyFill="1" applyBorder="1" applyAlignment="1">
      <alignment horizontal="center"/>
    </xf>
    <xf numFmtId="0" fontId="6" fillId="0" borderId="29" xfId="0" applyFont="1" applyBorder="1" applyAlignment="1">
      <alignment vertical="center" wrapText="1"/>
    </xf>
    <xf numFmtId="0" fontId="6" fillId="0" borderId="48" xfId="0" applyFont="1" applyFill="1" applyBorder="1" applyAlignment="1">
      <alignment vertical="center" wrapText="1"/>
    </xf>
    <xf numFmtId="3" fontId="2" fillId="0" borderId="73" xfId="0" applyNumberFormat="1" applyFont="1" applyFill="1" applyBorder="1" applyAlignment="1">
      <alignment horizontal="center"/>
    </xf>
    <xf numFmtId="3" fontId="6" fillId="0" borderId="74" xfId="0" applyNumberFormat="1" applyFont="1" applyFill="1" applyBorder="1" applyAlignment="1">
      <alignment horizontal="center"/>
    </xf>
    <xf numFmtId="3" fontId="2" fillId="0" borderId="74" xfId="0" applyNumberFormat="1" applyFont="1" applyFill="1" applyBorder="1" applyAlignment="1">
      <alignment horizontal="center"/>
    </xf>
    <xf numFmtId="3" fontId="2" fillId="0" borderId="75" xfId="0" applyNumberFormat="1" applyFont="1" applyFill="1" applyBorder="1" applyAlignment="1">
      <alignment horizontal="center"/>
    </xf>
    <xf numFmtId="3" fontId="2" fillId="0" borderId="76" xfId="0" applyNumberFormat="1" applyFont="1" applyFill="1" applyBorder="1" applyAlignment="1">
      <alignment horizontal="center"/>
    </xf>
    <xf numFmtId="3" fontId="2" fillId="0" borderId="77" xfId="0" applyNumberFormat="1" applyFont="1" applyFill="1" applyBorder="1" applyAlignment="1">
      <alignment horizontal="center"/>
    </xf>
    <xf numFmtId="3" fontId="2" fillId="0" borderId="78" xfId="0" applyNumberFormat="1" applyFont="1" applyFill="1" applyBorder="1" applyAlignment="1">
      <alignment horizontal="center"/>
    </xf>
    <xf numFmtId="3" fontId="6" fillId="0" borderId="76" xfId="0" applyNumberFormat="1" applyFont="1" applyFill="1" applyBorder="1" applyAlignment="1">
      <alignment horizontal="center"/>
    </xf>
    <xf numFmtId="3" fontId="6" fillId="0" borderId="78" xfId="0" applyNumberFormat="1" applyFont="1" applyFill="1" applyBorder="1" applyAlignment="1">
      <alignment horizontal="center"/>
    </xf>
    <xf numFmtId="3" fontId="2" fillId="0" borderId="79" xfId="0" applyNumberFormat="1" applyFont="1" applyFill="1" applyBorder="1" applyAlignment="1">
      <alignment horizontal="center"/>
    </xf>
    <xf numFmtId="3" fontId="2" fillId="0" borderId="72" xfId="0" applyNumberFormat="1" applyFont="1" applyFill="1" applyBorder="1" applyAlignment="1">
      <alignment horizontal="center"/>
    </xf>
    <xf numFmtId="0" fontId="2" fillId="0" borderId="55" xfId="0" applyFont="1" applyFill="1" applyBorder="1" applyAlignment="1">
      <alignment vertical="center" wrapText="1"/>
    </xf>
    <xf numFmtId="0" fontId="2" fillId="0" borderId="55" xfId="0" applyFont="1" applyFill="1" applyBorder="1" applyAlignment="1">
      <alignment horizontal="left" vertical="center" wrapText="1"/>
    </xf>
    <xf numFmtId="0" fontId="2" fillId="0" borderId="48" xfId="0" applyFont="1" applyFill="1" applyBorder="1"/>
    <xf numFmtId="0" fontId="2" fillId="0" borderId="48" xfId="0" applyFont="1" applyFill="1" applyBorder="1" applyAlignment="1">
      <alignment vertical="center"/>
    </xf>
    <xf numFmtId="0" fontId="2" fillId="0" borderId="39" xfId="9" applyFont="1" applyFill="1" applyBorder="1" applyAlignment="1">
      <alignment vertical="center" wrapText="1"/>
    </xf>
    <xf numFmtId="3" fontId="2" fillId="0" borderId="80" xfId="0" applyNumberFormat="1" applyFont="1" applyFill="1" applyBorder="1" applyAlignment="1">
      <alignment horizontal="center"/>
    </xf>
    <xf numFmtId="3" fontId="12" fillId="0" borderId="8" xfId="0" applyNumberFormat="1" applyFont="1" applyFill="1" applyBorder="1" applyAlignment="1">
      <alignment horizontal="center"/>
    </xf>
    <xf numFmtId="0" fontId="2" fillId="0" borderId="48" xfId="0" applyFont="1" applyFill="1" applyBorder="1" applyAlignment="1">
      <alignment vertical="center" wrapText="1"/>
    </xf>
    <xf numFmtId="0" fontId="6" fillId="0" borderId="54" xfId="0" applyFont="1" applyFill="1" applyBorder="1" applyAlignment="1">
      <alignment vertical="center"/>
    </xf>
    <xf numFmtId="3" fontId="6" fillId="0" borderId="75" xfId="0" applyNumberFormat="1" applyFont="1" applyFill="1" applyBorder="1" applyAlignment="1">
      <alignment horizontal="center"/>
    </xf>
    <xf numFmtId="167" fontId="11" fillId="0" borderId="48" xfId="0" applyNumberFormat="1" applyFont="1" applyFill="1" applyBorder="1" applyAlignment="1">
      <alignment wrapText="1"/>
    </xf>
    <xf numFmtId="0" fontId="2" fillId="0" borderId="48" xfId="9" applyFont="1" applyFill="1" applyBorder="1" applyAlignment="1">
      <alignment vertical="center" wrapText="1"/>
    </xf>
    <xf numFmtId="0" fontId="6" fillId="0" borderId="68" xfId="0" applyFont="1" applyFill="1" applyBorder="1" applyAlignment="1">
      <alignment horizontal="center" vertical="center"/>
    </xf>
    <xf numFmtId="0" fontId="6" fillId="0" borderId="7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3" fontId="11" fillId="0" borderId="50" xfId="0" applyNumberFormat="1" applyFont="1" applyFill="1" applyBorder="1" applyAlignment="1">
      <alignment horizontal="center"/>
    </xf>
    <xf numFmtId="0" fontId="6" fillId="0" borderId="65" xfId="0" applyFont="1" applyFill="1" applyBorder="1" applyAlignment="1">
      <alignment vertical="center" wrapText="1"/>
    </xf>
    <xf numFmtId="0" fontId="6" fillId="0" borderId="66" xfId="0" applyFont="1" applyFill="1" applyBorder="1" applyAlignment="1">
      <alignment vertical="center" wrapText="1"/>
    </xf>
    <xf numFmtId="0" fontId="6" fillId="0" borderId="51" xfId="0" applyFont="1" applyFill="1" applyBorder="1" applyAlignment="1">
      <alignment vertical="center"/>
    </xf>
    <xf numFmtId="0" fontId="2" fillId="0" borderId="66" xfId="0" applyFont="1" applyFill="1" applyBorder="1" applyAlignment="1">
      <alignment vertical="center"/>
    </xf>
    <xf numFmtId="167" fontId="11" fillId="0" borderId="66" xfId="0" applyNumberFormat="1" applyFont="1" applyFill="1" applyBorder="1" applyAlignment="1">
      <alignment wrapText="1"/>
    </xf>
    <xf numFmtId="0" fontId="2" fillId="0" borderId="66" xfId="9" applyFont="1" applyFill="1" applyBorder="1" applyAlignment="1">
      <alignment vertical="center" wrapText="1"/>
    </xf>
    <xf numFmtId="3" fontId="2" fillId="0" borderId="34" xfId="0" applyNumberFormat="1" applyFont="1" applyFill="1" applyBorder="1" applyAlignment="1">
      <alignment horizontal="center"/>
    </xf>
    <xf numFmtId="0" fontId="2" fillId="0" borderId="63" xfId="0" applyFont="1" applyFill="1" applyBorder="1" applyAlignment="1">
      <alignment wrapText="1"/>
    </xf>
    <xf numFmtId="0" fontId="6" fillId="0" borderId="63" xfId="0" applyFont="1" applyFill="1" applyBorder="1" applyAlignment="1">
      <alignment vertical="center"/>
    </xf>
    <xf numFmtId="0" fontId="6" fillId="0" borderId="64" xfId="0" applyFont="1" applyFill="1" applyBorder="1" applyAlignment="1">
      <alignment vertical="center"/>
    </xf>
    <xf numFmtId="0" fontId="2" fillId="0" borderId="71" xfId="0" applyFont="1" applyFill="1" applyBorder="1" applyAlignment="1">
      <alignment wrapText="1"/>
    </xf>
    <xf numFmtId="0" fontId="2" fillId="0" borderId="64" xfId="0" applyFont="1" applyFill="1" applyBorder="1" applyAlignment="1">
      <alignment vertical="center" wrapText="1"/>
    </xf>
    <xf numFmtId="0" fontId="6" fillId="0" borderId="67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65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65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left" vertic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79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6" fillId="0" borderId="67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45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2" fillId="0" borderId="61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52" xfId="0" applyFont="1" applyFill="1" applyBorder="1" applyAlignment="1">
      <alignment horizontal="center" vertical="center"/>
    </xf>
    <xf numFmtId="0" fontId="6" fillId="0" borderId="48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6" fillId="0" borderId="65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6" fillId="0" borderId="53" xfId="0" applyFont="1" applyFill="1" applyBorder="1" applyAlignment="1">
      <alignment horizontal="center" vertical="center"/>
    </xf>
    <xf numFmtId="0" fontId="6" fillId="0" borderId="47" xfId="0" applyFont="1" applyFill="1" applyBorder="1" applyAlignment="1">
      <alignment horizontal="center" vertical="center"/>
    </xf>
    <xf numFmtId="0" fontId="6" fillId="0" borderId="79" xfId="0" applyFont="1" applyFill="1" applyBorder="1" applyAlignment="1">
      <alignment horizontal="center" vertical="center"/>
    </xf>
    <xf numFmtId="0" fontId="10" fillId="0" borderId="72" xfId="0" applyFont="1" applyFill="1" applyBorder="1" applyAlignment="1">
      <alignment horizontal="center"/>
    </xf>
    <xf numFmtId="0" fontId="2" fillId="0" borderId="68" xfId="0" applyFont="1" applyFill="1" applyBorder="1" applyAlignment="1">
      <alignment horizontal="center" vertical="center"/>
    </xf>
    <xf numFmtId="0" fontId="2" fillId="0" borderId="77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67" xfId="0" applyFont="1" applyFill="1" applyBorder="1" applyAlignment="1">
      <alignment horizontal="center" vertical="center"/>
    </xf>
    <xf numFmtId="0" fontId="2" fillId="0" borderId="52" xfId="0" applyFont="1" applyFill="1" applyBorder="1" applyAlignment="1">
      <alignment horizontal="center" vertical="center"/>
    </xf>
  </cellXfs>
  <cellStyles count="12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" xfId="11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95FDE4"/>
      <color rgb="FF75CEFB"/>
      <color rgb="FF758BFB"/>
      <color rgb="FFAE9BFF"/>
      <color rgb="FF9C85FF"/>
      <color rgb="FF00CC99"/>
      <color rgb="FFAE85FF"/>
      <color rgb="FF9966FF"/>
      <color rgb="FF0099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275"/>
  <sheetViews>
    <sheetView tabSelected="1" workbookViewId="0">
      <pane xSplit="3" ySplit="4" topLeftCell="AR23" activePane="bottomRight" state="frozen"/>
      <selection pane="topRight" activeCell="D1" sqref="D1"/>
      <selection pane="bottomLeft" activeCell="A5" sqref="A5"/>
      <selection pane="bottomRight" activeCell="AY30" sqref="AY30"/>
    </sheetView>
  </sheetViews>
  <sheetFormatPr defaultRowHeight="15.75" x14ac:dyDescent="0.25"/>
  <cols>
    <col min="1" max="1" width="4.7109375" style="6" customWidth="1"/>
    <col min="2" max="2" width="12.42578125" style="6" customWidth="1"/>
    <col min="3" max="3" width="68" style="7" customWidth="1"/>
    <col min="4" max="4" width="13.85546875" style="7" bestFit="1" customWidth="1"/>
    <col min="5" max="5" width="16.7109375" style="7" customWidth="1"/>
    <col min="6" max="6" width="11" style="7" bestFit="1" customWidth="1"/>
    <col min="7" max="7" width="16.42578125" style="7" customWidth="1"/>
    <col min="8" max="8" width="12.28515625" style="7" customWidth="1"/>
    <col min="9" max="9" width="16.42578125" style="7" customWidth="1"/>
    <col min="10" max="10" width="10.85546875" style="7" customWidth="1"/>
    <col min="11" max="11" width="16.42578125" style="7" customWidth="1"/>
    <col min="12" max="12" width="14.5703125" style="7" bestFit="1" customWidth="1"/>
    <col min="13" max="13" width="16.85546875" style="7" customWidth="1"/>
    <col min="14" max="19" width="18.7109375" style="7" customWidth="1"/>
    <col min="20" max="20" width="14.140625" style="7" customWidth="1"/>
    <col min="21" max="21" width="15.140625" style="7" customWidth="1"/>
    <col min="22" max="22" width="13.42578125" style="7" customWidth="1"/>
    <col min="23" max="23" width="14.85546875" style="7" customWidth="1"/>
    <col min="24" max="24" width="12.28515625" style="7" bestFit="1" customWidth="1"/>
    <col min="25" max="25" width="13.140625" style="7" customWidth="1"/>
    <col min="26" max="26" width="11.7109375" style="7" customWidth="1"/>
    <col min="27" max="27" width="15.7109375" style="7" customWidth="1"/>
    <col min="28" max="28" width="17.140625" style="7" customWidth="1"/>
    <col min="29" max="29" width="16.5703125" style="7" customWidth="1"/>
    <col min="30" max="30" width="16" style="7" customWidth="1"/>
    <col min="31" max="31" width="16.42578125" style="7" customWidth="1"/>
    <col min="32" max="32" width="20.140625" style="7" customWidth="1"/>
    <col min="33" max="33" width="19.42578125" style="7" customWidth="1"/>
    <col min="34" max="34" width="16.7109375" style="7" customWidth="1"/>
    <col min="35" max="35" width="18.28515625" style="7" customWidth="1"/>
    <col min="36" max="36" width="14.42578125" style="7" customWidth="1"/>
    <col min="37" max="37" width="16.7109375" style="7" customWidth="1"/>
    <col min="38" max="38" width="18.140625" style="7" customWidth="1"/>
    <col min="39" max="39" width="16.5703125" style="7" customWidth="1"/>
    <col min="40" max="40" width="17.42578125" style="7" customWidth="1"/>
    <col min="41" max="41" width="15.7109375" style="7" bestFit="1" customWidth="1"/>
    <col min="42" max="42" width="19" style="7" bestFit="1" customWidth="1"/>
    <col min="43" max="43" width="17" style="7" bestFit="1" customWidth="1"/>
    <col min="44" max="44" width="16.140625" style="7" customWidth="1"/>
    <col min="45" max="45" width="19" style="7" bestFit="1" customWidth="1"/>
    <col min="46" max="46" width="17.5703125" style="7" bestFit="1" customWidth="1"/>
    <col min="47" max="47" width="10.85546875" style="7" bestFit="1" customWidth="1"/>
    <col min="48" max="48" width="9.28515625" style="7" bestFit="1" customWidth="1"/>
    <col min="49" max="49" width="16.5703125" style="7" customWidth="1"/>
    <col min="50" max="50" width="11" style="7" bestFit="1" customWidth="1"/>
    <col min="51" max="51" width="8" style="7" bestFit="1" customWidth="1"/>
    <col min="52" max="52" width="17.140625" style="7" customWidth="1"/>
    <col min="53" max="53" width="19.7109375" style="7" customWidth="1"/>
    <col min="54" max="54" width="17" style="8" bestFit="1" customWidth="1"/>
    <col min="55" max="55" width="20.7109375" style="7" bestFit="1" customWidth="1"/>
    <col min="56" max="16384" width="9.140625" style="7"/>
  </cols>
  <sheetData>
    <row r="1" spans="1:55" s="1" customFormat="1" ht="21" thickBot="1" x14ac:dyDescent="0.35">
      <c r="A1" s="265" t="s">
        <v>194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  <c r="BA1" s="265"/>
      <c r="BB1" s="265"/>
      <c r="BC1" s="265"/>
    </row>
    <row r="2" spans="1:55" s="1" customFormat="1" ht="16.5" customHeight="1" thickBot="1" x14ac:dyDescent="0.3">
      <c r="A2" s="266" t="s">
        <v>28</v>
      </c>
      <c r="B2" s="268" t="s">
        <v>113</v>
      </c>
      <c r="C2" s="270" t="s">
        <v>27</v>
      </c>
      <c r="D2" s="272" t="s">
        <v>0</v>
      </c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4"/>
      <c r="AO2" s="275" t="s">
        <v>1</v>
      </c>
      <c r="AP2" s="273"/>
      <c r="AQ2" s="276"/>
      <c r="AR2" s="272" t="s">
        <v>2</v>
      </c>
      <c r="AS2" s="277"/>
      <c r="AT2" s="274"/>
      <c r="AU2" s="278" t="s">
        <v>3</v>
      </c>
      <c r="AV2" s="277"/>
      <c r="AW2" s="277"/>
      <c r="AX2" s="277"/>
      <c r="AY2" s="277"/>
      <c r="AZ2" s="279"/>
      <c r="BA2" s="277" t="s">
        <v>4</v>
      </c>
      <c r="BB2" s="277"/>
      <c r="BC2" s="280" t="s">
        <v>193</v>
      </c>
    </row>
    <row r="3" spans="1:55" s="3" customFormat="1" ht="72" customHeight="1" thickBot="1" x14ac:dyDescent="0.25">
      <c r="A3" s="267"/>
      <c r="B3" s="269"/>
      <c r="C3" s="271"/>
      <c r="D3" s="13" t="s">
        <v>6</v>
      </c>
      <c r="E3" s="12" t="s">
        <v>89</v>
      </c>
      <c r="F3" s="12" t="s">
        <v>126</v>
      </c>
      <c r="G3" s="12" t="s">
        <v>90</v>
      </c>
      <c r="H3" s="13" t="s">
        <v>150</v>
      </c>
      <c r="I3" s="12" t="s">
        <v>163</v>
      </c>
      <c r="J3" s="12" t="s">
        <v>151</v>
      </c>
      <c r="K3" s="12" t="s">
        <v>162</v>
      </c>
      <c r="L3" s="13" t="s">
        <v>114</v>
      </c>
      <c r="M3" s="13" t="s">
        <v>115</v>
      </c>
      <c r="N3" s="13" t="s">
        <v>130</v>
      </c>
      <c r="O3" s="13" t="s">
        <v>131</v>
      </c>
      <c r="P3" s="13" t="s">
        <v>132</v>
      </c>
      <c r="Q3" s="13" t="s">
        <v>133</v>
      </c>
      <c r="R3" s="13" t="s">
        <v>156</v>
      </c>
      <c r="S3" s="13" t="s">
        <v>161</v>
      </c>
      <c r="T3" s="13" t="s">
        <v>165</v>
      </c>
      <c r="U3" s="13" t="s">
        <v>166</v>
      </c>
      <c r="V3" s="13" t="s">
        <v>167</v>
      </c>
      <c r="W3" s="13" t="s">
        <v>168</v>
      </c>
      <c r="X3" s="13" t="s">
        <v>144</v>
      </c>
      <c r="Y3" s="12" t="s">
        <v>145</v>
      </c>
      <c r="Z3" s="12" t="s">
        <v>146</v>
      </c>
      <c r="AA3" s="109" t="s">
        <v>147</v>
      </c>
      <c r="AB3" s="109" t="s">
        <v>157</v>
      </c>
      <c r="AC3" s="109" t="s">
        <v>58</v>
      </c>
      <c r="AD3" s="109" t="s">
        <v>158</v>
      </c>
      <c r="AE3" s="109" t="s">
        <v>106</v>
      </c>
      <c r="AF3" s="109" t="s">
        <v>159</v>
      </c>
      <c r="AG3" s="109" t="s">
        <v>129</v>
      </c>
      <c r="AH3" s="109" t="s">
        <v>160</v>
      </c>
      <c r="AI3" s="109" t="s">
        <v>68</v>
      </c>
      <c r="AJ3" s="109" t="s">
        <v>69</v>
      </c>
      <c r="AK3" s="109" t="s">
        <v>70</v>
      </c>
      <c r="AL3" s="109" t="s">
        <v>59</v>
      </c>
      <c r="AM3" s="109" t="s">
        <v>29</v>
      </c>
      <c r="AN3" s="110" t="s">
        <v>7</v>
      </c>
      <c r="AO3" s="111" t="s">
        <v>8</v>
      </c>
      <c r="AP3" s="109" t="s">
        <v>59</v>
      </c>
      <c r="AQ3" s="112" t="s">
        <v>7</v>
      </c>
      <c r="AR3" s="113" t="s">
        <v>8</v>
      </c>
      <c r="AS3" s="109" t="s">
        <v>59</v>
      </c>
      <c r="AT3" s="110" t="s">
        <v>7</v>
      </c>
      <c r="AU3" s="111" t="s">
        <v>6</v>
      </c>
      <c r="AV3" s="109" t="s">
        <v>25</v>
      </c>
      <c r="AW3" s="114" t="s">
        <v>7</v>
      </c>
      <c r="AX3" s="109" t="s">
        <v>76</v>
      </c>
      <c r="AY3" s="109" t="s">
        <v>25</v>
      </c>
      <c r="AZ3" s="112" t="s">
        <v>7</v>
      </c>
      <c r="BA3" s="113" t="s">
        <v>30</v>
      </c>
      <c r="BB3" s="110" t="s">
        <v>7</v>
      </c>
      <c r="BC3" s="281"/>
    </row>
    <row r="4" spans="1:55" s="1" customFormat="1" ht="16.5" thickBot="1" x14ac:dyDescent="0.3">
      <c r="A4" s="263" t="s">
        <v>33</v>
      </c>
      <c r="B4" s="263" t="s">
        <v>34</v>
      </c>
      <c r="C4" s="259" t="s">
        <v>35</v>
      </c>
      <c r="D4" s="259" t="s">
        <v>36</v>
      </c>
      <c r="E4" s="259" t="s">
        <v>37</v>
      </c>
      <c r="F4" s="259" t="s">
        <v>38</v>
      </c>
      <c r="G4" s="259" t="s">
        <v>39</v>
      </c>
      <c r="H4" s="259" t="s">
        <v>40</v>
      </c>
      <c r="I4" s="259" t="s">
        <v>41</v>
      </c>
      <c r="J4" s="259" t="s">
        <v>42</v>
      </c>
      <c r="K4" s="259" t="s">
        <v>43</v>
      </c>
      <c r="L4" s="259" t="s">
        <v>44</v>
      </c>
      <c r="M4" s="259" t="s">
        <v>45</v>
      </c>
      <c r="N4" s="259" t="s">
        <v>46</v>
      </c>
      <c r="O4" s="259" t="s">
        <v>47</v>
      </c>
      <c r="P4" s="259" t="s">
        <v>48</v>
      </c>
      <c r="Q4" s="259" t="s">
        <v>49</v>
      </c>
      <c r="R4" s="259" t="s">
        <v>50</v>
      </c>
      <c r="S4" s="259" t="s">
        <v>51</v>
      </c>
      <c r="T4" s="259" t="s">
        <v>52</v>
      </c>
      <c r="U4" s="259" t="s">
        <v>53</v>
      </c>
      <c r="V4" s="259" t="s">
        <v>54</v>
      </c>
      <c r="W4" s="259" t="s">
        <v>55</v>
      </c>
      <c r="X4" s="259" t="s">
        <v>71</v>
      </c>
      <c r="Y4" s="259" t="s">
        <v>72</v>
      </c>
      <c r="Z4" s="259" t="s">
        <v>73</v>
      </c>
      <c r="AA4" s="259" t="s">
        <v>77</v>
      </c>
      <c r="AB4" s="259" t="s">
        <v>78</v>
      </c>
      <c r="AC4" s="259" t="s">
        <v>79</v>
      </c>
      <c r="AD4" s="259" t="s">
        <v>81</v>
      </c>
      <c r="AE4" s="259" t="s">
        <v>82</v>
      </c>
      <c r="AF4" s="259" t="s">
        <v>83</v>
      </c>
      <c r="AG4" s="259" t="s">
        <v>98</v>
      </c>
      <c r="AH4" s="259" t="s">
        <v>104</v>
      </c>
      <c r="AI4" s="259" t="s">
        <v>105</v>
      </c>
      <c r="AJ4" s="259" t="s">
        <v>109</v>
      </c>
      <c r="AK4" s="259" t="s">
        <v>110</v>
      </c>
      <c r="AL4" s="259" t="s">
        <v>116</v>
      </c>
      <c r="AM4" s="259" t="s">
        <v>136</v>
      </c>
      <c r="AN4" s="259" t="s">
        <v>137</v>
      </c>
      <c r="AO4" s="259" t="s">
        <v>138</v>
      </c>
      <c r="AP4" s="259" t="s">
        <v>139</v>
      </c>
      <c r="AQ4" s="264" t="s">
        <v>140</v>
      </c>
      <c r="AR4" s="258" t="s">
        <v>141</v>
      </c>
      <c r="AS4" s="259" t="s">
        <v>142</v>
      </c>
      <c r="AT4" s="259" t="s">
        <v>143</v>
      </c>
      <c r="AU4" s="259" t="s">
        <v>152</v>
      </c>
      <c r="AV4" s="259" t="s">
        <v>153</v>
      </c>
      <c r="AW4" s="259" t="s">
        <v>154</v>
      </c>
      <c r="AX4" s="259" t="s">
        <v>155</v>
      </c>
      <c r="AY4" s="259" t="s">
        <v>164</v>
      </c>
      <c r="AZ4" s="264" t="s">
        <v>169</v>
      </c>
      <c r="BA4" s="258" t="s">
        <v>170</v>
      </c>
      <c r="BB4" s="259" t="s">
        <v>171</v>
      </c>
      <c r="BC4" s="264" t="s">
        <v>175</v>
      </c>
    </row>
    <row r="5" spans="1:55" s="1" customFormat="1" x14ac:dyDescent="0.25">
      <c r="A5" s="282">
        <v>1</v>
      </c>
      <c r="B5" s="282">
        <v>790001</v>
      </c>
      <c r="C5" s="17" t="s">
        <v>9</v>
      </c>
      <c r="D5" s="73">
        <f>107337-2</f>
        <v>107335</v>
      </c>
      <c r="E5" s="30">
        <f>87292890-980</f>
        <v>87291910</v>
      </c>
      <c r="F5" s="30">
        <f>24115-1</f>
        <v>24114</v>
      </c>
      <c r="G5" s="30">
        <f>53556945-36568-844</f>
        <v>53519533</v>
      </c>
      <c r="H5" s="30">
        <f>36640+10+5+4+31</f>
        <v>36690</v>
      </c>
      <c r="I5" s="30">
        <f>411280+21011164+21303+1449831+411280</f>
        <v>23304858</v>
      </c>
      <c r="J5" s="30">
        <v>5676</v>
      </c>
      <c r="K5" s="30">
        <v>16605146</v>
      </c>
      <c r="L5" s="30">
        <f>2044+46</f>
        <v>2090</v>
      </c>
      <c r="M5" s="30">
        <f>4912775+110562-1</f>
        <v>5023336</v>
      </c>
      <c r="N5" s="30"/>
      <c r="O5" s="30"/>
      <c r="P5" s="30">
        <f>364+20</f>
        <v>384</v>
      </c>
      <c r="Q5" s="30">
        <f>827980+45494</f>
        <v>873474</v>
      </c>
      <c r="R5" s="30">
        <f>946+59</f>
        <v>1005</v>
      </c>
      <c r="S5" s="30">
        <f>4789078+298685</f>
        <v>5087763</v>
      </c>
      <c r="T5" s="30"/>
      <c r="U5" s="30"/>
      <c r="V5" s="30"/>
      <c r="W5" s="30"/>
      <c r="X5" s="30">
        <f>13+1005</f>
        <v>1018</v>
      </c>
      <c r="Y5" s="30">
        <f>669+67</f>
        <v>736</v>
      </c>
      <c r="Z5" s="30">
        <f>2+97</f>
        <v>99</v>
      </c>
      <c r="AA5" s="30">
        <v>3924900</v>
      </c>
      <c r="AB5" s="30">
        <f>6047-1+147</f>
        <v>6193</v>
      </c>
      <c r="AC5" s="30">
        <f>34966265-6747+855299</f>
        <v>35814817</v>
      </c>
      <c r="AD5" s="30">
        <f>910+125</f>
        <v>1035</v>
      </c>
      <c r="AE5" s="30">
        <f>29047+2050336+123+274043-2</f>
        <v>2353547</v>
      </c>
      <c r="AF5" s="30">
        <f>2782-1+50</f>
        <v>2831</v>
      </c>
      <c r="AG5" s="30">
        <f>4012950-1634+89497</f>
        <v>4100813</v>
      </c>
      <c r="AH5" s="30">
        <f>1674+8</f>
        <v>1682</v>
      </c>
      <c r="AI5" s="30">
        <f>4416175+25623</f>
        <v>4441798</v>
      </c>
      <c r="AJ5" s="30">
        <f>17744-1+379</f>
        <v>18122</v>
      </c>
      <c r="AK5" s="30">
        <f>27837853-3335+594598</f>
        <v>28429116</v>
      </c>
      <c r="AL5" s="30"/>
      <c r="AM5" s="30"/>
      <c r="AN5" s="49">
        <f t="shared" ref="AN5:AN22" si="0">E5+G5+M5+O5+Q5+S5+AA5+AC5+AE5+AG5+AI5+AK5+AM5+I5+K5+U5+W5</f>
        <v>270771011</v>
      </c>
      <c r="AO5" s="39">
        <f>9020+AO6+AO7+AO8+AO9-9+184</f>
        <v>9634</v>
      </c>
      <c r="AP5" s="30"/>
      <c r="AQ5" s="40">
        <f>740700738+AQ6+AQ7+AQ8+AQ9-636830+13084225-435</f>
        <v>833441591</v>
      </c>
      <c r="AR5" s="35">
        <v>2483</v>
      </c>
      <c r="AS5" s="31"/>
      <c r="AT5" s="49">
        <v>60909867</v>
      </c>
      <c r="AU5" s="39">
        <f>1591+5</f>
        <v>1596</v>
      </c>
      <c r="AV5" s="31">
        <f>9418+43</f>
        <v>9461</v>
      </c>
      <c r="AW5" s="31">
        <f>3192725+14476</f>
        <v>3207201</v>
      </c>
      <c r="AX5" s="31"/>
      <c r="AY5" s="31"/>
      <c r="AZ5" s="40"/>
      <c r="BA5" s="35"/>
      <c r="BB5" s="40"/>
      <c r="BC5" s="186">
        <f t="shared" ref="BC5:BC93" si="1">AN5+AQ5+AT5+AW5+BB5+AZ5</f>
        <v>1168329670</v>
      </c>
    </row>
    <row r="6" spans="1:55" s="1" customFormat="1" x14ac:dyDescent="0.25">
      <c r="A6" s="283"/>
      <c r="B6" s="283"/>
      <c r="C6" s="19" t="s">
        <v>119</v>
      </c>
      <c r="D6" s="4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50">
        <f t="shared" si="0"/>
        <v>0</v>
      </c>
      <c r="AO6" s="41">
        <f>52+3</f>
        <v>55</v>
      </c>
      <c r="AP6" s="26"/>
      <c r="AQ6" s="42">
        <f>6283805+858313</f>
        <v>7142118</v>
      </c>
      <c r="AR6" s="36"/>
      <c r="AS6" s="27"/>
      <c r="AT6" s="50"/>
      <c r="AU6" s="43"/>
      <c r="AV6" s="27"/>
      <c r="AW6" s="27"/>
      <c r="AX6" s="27"/>
      <c r="AY6" s="27"/>
      <c r="AZ6" s="44"/>
      <c r="BA6" s="36"/>
      <c r="BB6" s="44"/>
      <c r="BC6" s="187">
        <f t="shared" si="1"/>
        <v>7142118</v>
      </c>
    </row>
    <row r="7" spans="1:55" s="1" customFormat="1" x14ac:dyDescent="0.25">
      <c r="A7" s="283"/>
      <c r="B7" s="283"/>
      <c r="C7" s="19" t="s">
        <v>121</v>
      </c>
      <c r="D7" s="4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50">
        <f t="shared" si="0"/>
        <v>0</v>
      </c>
      <c r="AO7" s="41">
        <f>266-4+3</f>
        <v>265</v>
      </c>
      <c r="AP7" s="26"/>
      <c r="AQ7" s="42">
        <f>43127903-232030+688095</f>
        <v>43583968</v>
      </c>
      <c r="AR7" s="36"/>
      <c r="AS7" s="27"/>
      <c r="AT7" s="50"/>
      <c r="AU7" s="43"/>
      <c r="AV7" s="27"/>
      <c r="AW7" s="27"/>
      <c r="AX7" s="27"/>
      <c r="AY7" s="27"/>
      <c r="AZ7" s="44"/>
      <c r="BA7" s="36"/>
      <c r="BB7" s="44"/>
      <c r="BC7" s="187">
        <f t="shared" si="1"/>
        <v>43583968</v>
      </c>
    </row>
    <row r="8" spans="1:55" s="1" customFormat="1" x14ac:dyDescent="0.25">
      <c r="A8" s="283"/>
      <c r="B8" s="283"/>
      <c r="C8" s="19" t="s">
        <v>188</v>
      </c>
      <c r="D8" s="41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50">
        <f t="shared" si="0"/>
        <v>0</v>
      </c>
      <c r="AO8" s="41">
        <f>118-1+2</f>
        <v>119</v>
      </c>
      <c r="AP8" s="26"/>
      <c r="AQ8" s="42">
        <f>29222301-231680+577186</f>
        <v>29567807</v>
      </c>
      <c r="AR8" s="36"/>
      <c r="AS8" s="27"/>
      <c r="AT8" s="50"/>
      <c r="AU8" s="43"/>
      <c r="AV8" s="27"/>
      <c r="AW8" s="27"/>
      <c r="AX8" s="27"/>
      <c r="AY8" s="27"/>
      <c r="AZ8" s="44"/>
      <c r="BA8" s="36"/>
      <c r="BB8" s="44"/>
      <c r="BC8" s="187">
        <f t="shared" si="1"/>
        <v>29567807</v>
      </c>
    </row>
    <row r="9" spans="1:55" s="1" customFormat="1" ht="31.5" x14ac:dyDescent="0.25">
      <c r="A9" s="283"/>
      <c r="B9" s="283"/>
      <c r="C9" s="18" t="s">
        <v>190</v>
      </c>
      <c r="D9" s="41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50">
        <f t="shared" si="0"/>
        <v>0</v>
      </c>
      <c r="AO9" s="43"/>
      <c r="AP9" s="26"/>
      <c r="AQ9" s="44"/>
      <c r="AR9" s="36"/>
      <c r="AS9" s="27"/>
      <c r="AT9" s="50"/>
      <c r="AU9" s="43"/>
      <c r="AV9" s="27"/>
      <c r="AW9" s="27"/>
      <c r="AX9" s="27"/>
      <c r="AY9" s="27"/>
      <c r="AZ9" s="44"/>
      <c r="BA9" s="36"/>
      <c r="BB9" s="44"/>
      <c r="BC9" s="188">
        <f t="shared" si="1"/>
        <v>0</v>
      </c>
    </row>
    <row r="10" spans="1:55" s="1" customFormat="1" x14ac:dyDescent="0.25">
      <c r="A10" s="283"/>
      <c r="B10" s="283"/>
      <c r="C10" s="19" t="s">
        <v>191</v>
      </c>
      <c r="D10" s="4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50">
        <f t="shared" si="0"/>
        <v>0</v>
      </c>
      <c r="AO10" s="43"/>
      <c r="AP10" s="26"/>
      <c r="AQ10" s="44"/>
      <c r="AR10" s="36"/>
      <c r="AS10" s="27"/>
      <c r="AT10" s="50"/>
      <c r="AU10" s="43"/>
      <c r="AV10" s="27"/>
      <c r="AW10" s="27"/>
      <c r="AX10" s="27"/>
      <c r="AY10" s="27"/>
      <c r="AZ10" s="44"/>
      <c r="BA10" s="36"/>
      <c r="BB10" s="44"/>
      <c r="BC10" s="188">
        <f t="shared" si="1"/>
        <v>0</v>
      </c>
    </row>
    <row r="11" spans="1:55" s="1" customFormat="1" x14ac:dyDescent="0.25">
      <c r="A11" s="283"/>
      <c r="B11" s="283"/>
      <c r="C11" s="19" t="s">
        <v>176</v>
      </c>
      <c r="D11" s="41">
        <v>99</v>
      </c>
      <c r="E11" s="26">
        <v>4142539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50">
        <f t="shared" si="0"/>
        <v>4142539</v>
      </c>
      <c r="AO11" s="43">
        <f>106-2+11</f>
        <v>115</v>
      </c>
      <c r="AP11" s="26"/>
      <c r="AQ11" s="44">
        <f>29270737-458322+3004534</f>
        <v>31816949</v>
      </c>
      <c r="AR11" s="36"/>
      <c r="AS11" s="27"/>
      <c r="AT11" s="50"/>
      <c r="AU11" s="43"/>
      <c r="AV11" s="27"/>
      <c r="AW11" s="27"/>
      <c r="AX11" s="27"/>
      <c r="AY11" s="27"/>
      <c r="AZ11" s="44"/>
      <c r="BA11" s="36"/>
      <c r="BB11" s="44"/>
      <c r="BC11" s="188">
        <f t="shared" si="1"/>
        <v>35959488</v>
      </c>
    </row>
    <row r="12" spans="1:55" s="1" customFormat="1" x14ac:dyDescent="0.25">
      <c r="A12" s="283"/>
      <c r="B12" s="283"/>
      <c r="C12" s="107" t="s">
        <v>26</v>
      </c>
      <c r="D12" s="41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50">
        <f t="shared" si="0"/>
        <v>0</v>
      </c>
      <c r="AO12" s="43">
        <f>14+29</f>
        <v>43</v>
      </c>
      <c r="AP12" s="26"/>
      <c r="AQ12" s="44">
        <v>10989882</v>
      </c>
      <c r="AR12" s="36"/>
      <c r="AS12" s="27"/>
      <c r="AT12" s="50"/>
      <c r="AU12" s="43"/>
      <c r="AV12" s="27"/>
      <c r="AW12" s="27"/>
      <c r="AX12" s="27"/>
      <c r="AY12" s="27"/>
      <c r="AZ12" s="44"/>
      <c r="BA12" s="36"/>
      <c r="BB12" s="44"/>
      <c r="BC12" s="188">
        <f t="shared" si="1"/>
        <v>10989882</v>
      </c>
    </row>
    <row r="13" spans="1:55" s="1" customFormat="1" x14ac:dyDescent="0.25">
      <c r="A13" s="283"/>
      <c r="B13" s="283"/>
      <c r="C13" s="19" t="s">
        <v>189</v>
      </c>
      <c r="D13" s="41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50">
        <f t="shared" si="0"/>
        <v>0</v>
      </c>
      <c r="AO13" s="41">
        <f>14+29</f>
        <v>43</v>
      </c>
      <c r="AP13" s="26"/>
      <c r="AQ13" s="42">
        <v>10989882</v>
      </c>
      <c r="AR13" s="36"/>
      <c r="AS13" s="27"/>
      <c r="AT13" s="50"/>
      <c r="AU13" s="43"/>
      <c r="AV13" s="27"/>
      <c r="AW13" s="27"/>
      <c r="AX13" s="27"/>
      <c r="AY13" s="27"/>
      <c r="AZ13" s="44"/>
      <c r="BA13" s="36"/>
      <c r="BB13" s="44"/>
      <c r="BC13" s="187">
        <f t="shared" si="1"/>
        <v>10989882</v>
      </c>
    </row>
    <row r="14" spans="1:55" s="1" customFormat="1" ht="31.5" x14ac:dyDescent="0.25">
      <c r="A14" s="283"/>
      <c r="B14" s="283"/>
      <c r="C14" s="18" t="s">
        <v>186</v>
      </c>
      <c r="D14" s="41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50">
        <f t="shared" si="0"/>
        <v>0</v>
      </c>
      <c r="AO14" s="41"/>
      <c r="AP14" s="26"/>
      <c r="AQ14" s="42"/>
      <c r="AR14" s="36"/>
      <c r="AS14" s="27"/>
      <c r="AT14" s="50"/>
      <c r="AU14" s="43"/>
      <c r="AV14" s="27"/>
      <c r="AW14" s="27"/>
      <c r="AX14" s="27"/>
      <c r="AY14" s="27"/>
      <c r="AZ14" s="44"/>
      <c r="BA14" s="36"/>
      <c r="BB14" s="44"/>
      <c r="BC14" s="187">
        <f t="shared" si="1"/>
        <v>0</v>
      </c>
    </row>
    <row r="15" spans="1:55" s="1" customFormat="1" x14ac:dyDescent="0.25">
      <c r="A15" s="283"/>
      <c r="B15" s="283"/>
      <c r="C15" s="21" t="s">
        <v>183</v>
      </c>
      <c r="D15" s="41">
        <f>439+242</f>
        <v>681</v>
      </c>
      <c r="E15" s="26">
        <f>297498+163997</f>
        <v>461495</v>
      </c>
      <c r="F15" s="26">
        <f>193+113</f>
        <v>306</v>
      </c>
      <c r="G15" s="26">
        <f>279142+163436</f>
        <v>442578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50">
        <f t="shared" si="0"/>
        <v>904073</v>
      </c>
      <c r="AO15" s="43"/>
      <c r="AP15" s="26"/>
      <c r="AQ15" s="44"/>
      <c r="AR15" s="36"/>
      <c r="AS15" s="27"/>
      <c r="AT15" s="50"/>
      <c r="AU15" s="43"/>
      <c r="AV15" s="27"/>
      <c r="AW15" s="27"/>
      <c r="AX15" s="27"/>
      <c r="AY15" s="27"/>
      <c r="AZ15" s="44"/>
      <c r="BA15" s="36"/>
      <c r="BB15" s="44"/>
      <c r="BC15" s="188">
        <f t="shared" si="1"/>
        <v>904073</v>
      </c>
    </row>
    <row r="16" spans="1:55" s="1" customFormat="1" x14ac:dyDescent="0.25">
      <c r="A16" s="283"/>
      <c r="B16" s="283"/>
      <c r="C16" s="19" t="s">
        <v>179</v>
      </c>
      <c r="D16" s="41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50">
        <f t="shared" si="0"/>
        <v>0</v>
      </c>
      <c r="AO16" s="43"/>
      <c r="AP16" s="26"/>
      <c r="AQ16" s="44"/>
      <c r="AR16" s="36"/>
      <c r="AS16" s="27"/>
      <c r="AT16" s="50"/>
      <c r="AU16" s="43"/>
      <c r="AV16" s="27"/>
      <c r="AW16" s="27"/>
      <c r="AX16" s="27"/>
      <c r="AY16" s="27"/>
      <c r="AZ16" s="44"/>
      <c r="BA16" s="36"/>
      <c r="BB16" s="44"/>
      <c r="BC16" s="188">
        <f t="shared" si="1"/>
        <v>0</v>
      </c>
    </row>
    <row r="17" spans="1:55" s="1" customFormat="1" x14ac:dyDescent="0.25">
      <c r="A17" s="283"/>
      <c r="B17" s="283"/>
      <c r="C17" s="19" t="s">
        <v>60</v>
      </c>
      <c r="D17" s="41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>
        <f>22152+114</f>
        <v>22266</v>
      </c>
      <c r="AM17" s="26">
        <f>3795213+16209</f>
        <v>3811422</v>
      </c>
      <c r="AN17" s="50">
        <f t="shared" si="0"/>
        <v>3811422</v>
      </c>
      <c r="AO17" s="43"/>
      <c r="AP17" s="26"/>
      <c r="AQ17" s="44"/>
      <c r="AR17" s="36"/>
      <c r="AS17" s="27"/>
      <c r="AT17" s="50"/>
      <c r="AU17" s="43"/>
      <c r="AV17" s="27"/>
      <c r="AW17" s="27"/>
      <c r="AX17" s="27"/>
      <c r="AY17" s="27"/>
      <c r="AZ17" s="44"/>
      <c r="BA17" s="36"/>
      <c r="BB17" s="44"/>
      <c r="BC17" s="188">
        <f t="shared" si="1"/>
        <v>3811422</v>
      </c>
    </row>
    <row r="18" spans="1:55" s="1" customFormat="1" x14ac:dyDescent="0.25">
      <c r="A18" s="283"/>
      <c r="B18" s="283"/>
      <c r="C18" s="19" t="s">
        <v>187</v>
      </c>
      <c r="D18" s="41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50">
        <f t="shared" si="0"/>
        <v>0</v>
      </c>
      <c r="AO18" s="43"/>
      <c r="AP18" s="26"/>
      <c r="AQ18" s="44"/>
      <c r="AR18" s="36"/>
      <c r="AS18" s="27"/>
      <c r="AT18" s="50"/>
      <c r="AU18" s="43"/>
      <c r="AV18" s="27"/>
      <c r="AW18" s="27"/>
      <c r="AX18" s="27"/>
      <c r="AY18" s="27"/>
      <c r="AZ18" s="44"/>
      <c r="BA18" s="36"/>
      <c r="BB18" s="44"/>
      <c r="BC18" s="188">
        <f t="shared" si="1"/>
        <v>0</v>
      </c>
    </row>
    <row r="19" spans="1:55" s="1" customFormat="1" x14ac:dyDescent="0.25">
      <c r="A19" s="283"/>
      <c r="B19" s="283"/>
      <c r="C19" s="19" t="s">
        <v>74</v>
      </c>
      <c r="D19" s="41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>
        <v>1182</v>
      </c>
      <c r="AM19" s="26">
        <v>1334424</v>
      </c>
      <c r="AN19" s="50">
        <f t="shared" si="0"/>
        <v>1334424</v>
      </c>
      <c r="AO19" s="43"/>
      <c r="AP19" s="26"/>
      <c r="AQ19" s="44"/>
      <c r="AR19" s="36"/>
      <c r="AS19" s="27"/>
      <c r="AT19" s="50"/>
      <c r="AU19" s="43"/>
      <c r="AV19" s="27"/>
      <c r="AW19" s="27"/>
      <c r="AX19" s="27"/>
      <c r="AY19" s="27"/>
      <c r="AZ19" s="44"/>
      <c r="BA19" s="36"/>
      <c r="BB19" s="44"/>
      <c r="BC19" s="188">
        <f t="shared" si="1"/>
        <v>1334424</v>
      </c>
    </row>
    <row r="20" spans="1:55" s="1" customFormat="1" x14ac:dyDescent="0.25">
      <c r="A20" s="283"/>
      <c r="B20" s="283"/>
      <c r="C20" s="18" t="s">
        <v>185</v>
      </c>
      <c r="D20" s="4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50">
        <f t="shared" si="0"/>
        <v>0</v>
      </c>
      <c r="AO20" s="43"/>
      <c r="AP20" s="26"/>
      <c r="AQ20" s="44"/>
      <c r="AR20" s="36"/>
      <c r="AS20" s="27"/>
      <c r="AT20" s="50"/>
      <c r="AU20" s="43"/>
      <c r="AV20" s="27"/>
      <c r="AW20" s="27"/>
      <c r="AX20" s="27"/>
      <c r="AY20" s="27"/>
      <c r="AZ20" s="44"/>
      <c r="BA20" s="36"/>
      <c r="BB20" s="44"/>
      <c r="BC20" s="188">
        <f t="shared" si="1"/>
        <v>0</v>
      </c>
    </row>
    <row r="21" spans="1:55" s="1" customFormat="1" x14ac:dyDescent="0.25">
      <c r="A21" s="283"/>
      <c r="B21" s="283"/>
      <c r="C21" s="18" t="s">
        <v>86</v>
      </c>
      <c r="D21" s="41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>
        <f>2046+36</f>
        <v>2082</v>
      </c>
      <c r="AM21" s="26">
        <f>973523+22239</f>
        <v>995762</v>
      </c>
      <c r="AN21" s="50">
        <f t="shared" si="0"/>
        <v>995762</v>
      </c>
      <c r="AO21" s="43"/>
      <c r="AP21" s="26"/>
      <c r="AQ21" s="44"/>
      <c r="AR21" s="36"/>
      <c r="AS21" s="27"/>
      <c r="AT21" s="50"/>
      <c r="AU21" s="43"/>
      <c r="AV21" s="27"/>
      <c r="AW21" s="27"/>
      <c r="AX21" s="27"/>
      <c r="AY21" s="27"/>
      <c r="AZ21" s="44"/>
      <c r="BA21" s="36"/>
      <c r="BB21" s="44"/>
      <c r="BC21" s="188">
        <f t="shared" si="1"/>
        <v>995762</v>
      </c>
    </row>
    <row r="22" spans="1:55" s="1" customFormat="1" x14ac:dyDescent="0.25">
      <c r="A22" s="283"/>
      <c r="B22" s="283"/>
      <c r="C22" s="18" t="s">
        <v>100</v>
      </c>
      <c r="D22" s="41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>
        <f>1681-1+6</f>
        <v>1686</v>
      </c>
      <c r="AM22" s="26">
        <f>15310360-9477+56071-1</f>
        <v>15356953</v>
      </c>
      <c r="AN22" s="50">
        <f t="shared" si="0"/>
        <v>15356953</v>
      </c>
      <c r="AO22" s="43"/>
      <c r="AP22" s="27">
        <f>1098+33</f>
        <v>1131</v>
      </c>
      <c r="AQ22" s="44">
        <v>10059071</v>
      </c>
      <c r="AR22" s="36"/>
      <c r="AS22" s="27">
        <f>720+77</f>
        <v>797</v>
      </c>
      <c r="AT22" s="50">
        <f>6594965+698397</f>
        <v>7293362</v>
      </c>
      <c r="AU22" s="43"/>
      <c r="AV22" s="27"/>
      <c r="AW22" s="27"/>
      <c r="AX22" s="27"/>
      <c r="AY22" s="27"/>
      <c r="AZ22" s="44"/>
      <c r="BA22" s="36"/>
      <c r="BB22" s="44"/>
      <c r="BC22" s="188">
        <f t="shared" si="1"/>
        <v>32709386</v>
      </c>
    </row>
    <row r="23" spans="1:55" s="1" customFormat="1" x14ac:dyDescent="0.25">
      <c r="A23" s="283"/>
      <c r="B23" s="283"/>
      <c r="C23" s="18" t="s">
        <v>178</v>
      </c>
      <c r="D23" s="41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50">
        <v>0</v>
      </c>
      <c r="AO23" s="43"/>
      <c r="AP23" s="26"/>
      <c r="AQ23" s="44"/>
      <c r="AR23" s="36"/>
      <c r="AS23" s="27"/>
      <c r="AT23" s="50"/>
      <c r="AU23" s="43"/>
      <c r="AV23" s="27"/>
      <c r="AW23" s="27"/>
      <c r="AX23" s="27"/>
      <c r="AY23" s="27"/>
      <c r="AZ23" s="44"/>
      <c r="BA23" s="36"/>
      <c r="BB23" s="44"/>
      <c r="BC23" s="188">
        <f t="shared" si="1"/>
        <v>0</v>
      </c>
    </row>
    <row r="24" spans="1:55" s="1" customFormat="1" x14ac:dyDescent="0.25">
      <c r="A24" s="283"/>
      <c r="B24" s="283"/>
      <c r="C24" s="18" t="s">
        <v>91</v>
      </c>
      <c r="D24" s="41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>
        <f>467+37</f>
        <v>504</v>
      </c>
      <c r="AM24" s="26">
        <f>1102311+93096</f>
        <v>1195407</v>
      </c>
      <c r="AN24" s="50">
        <f>E24+G24+M24+O24+Q24+S24+AA24+AC24+AE24+AG24+AI24+AK24+AM24+I24+K24+U24+W24</f>
        <v>1195407</v>
      </c>
      <c r="AO24" s="43"/>
      <c r="AP24" s="26"/>
      <c r="AQ24" s="44"/>
      <c r="AR24" s="36"/>
      <c r="AS24" s="27"/>
      <c r="AT24" s="50"/>
      <c r="AU24" s="43"/>
      <c r="AV24" s="27"/>
      <c r="AW24" s="27"/>
      <c r="AX24" s="27"/>
      <c r="AY24" s="27"/>
      <c r="AZ24" s="44"/>
      <c r="BA24" s="36"/>
      <c r="BB24" s="44"/>
      <c r="BC24" s="188">
        <f t="shared" si="1"/>
        <v>1195407</v>
      </c>
    </row>
    <row r="25" spans="1:55" s="1" customFormat="1" x14ac:dyDescent="0.25">
      <c r="A25" s="283"/>
      <c r="B25" s="283"/>
      <c r="C25" s="18" t="s">
        <v>75</v>
      </c>
      <c r="D25" s="4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>
        <f>614+6</f>
        <v>620</v>
      </c>
      <c r="AM25" s="26">
        <f>674766+6506</f>
        <v>681272</v>
      </c>
      <c r="AN25" s="50">
        <f>E25+G25+M25+O25+Q25+S25+AA25+AC25+AE25+AG25+AI25+AK25+AM25+I25+K25+U25+W25</f>
        <v>681272</v>
      </c>
      <c r="AO25" s="43"/>
      <c r="AP25" s="26"/>
      <c r="AQ25" s="44"/>
      <c r="AR25" s="36"/>
      <c r="AS25" s="27"/>
      <c r="AT25" s="50"/>
      <c r="AU25" s="43"/>
      <c r="AV25" s="27"/>
      <c r="AW25" s="27"/>
      <c r="AX25" s="27"/>
      <c r="AY25" s="27"/>
      <c r="AZ25" s="44"/>
      <c r="BA25" s="36"/>
      <c r="BB25" s="44"/>
      <c r="BC25" s="188">
        <f t="shared" si="1"/>
        <v>681272</v>
      </c>
    </row>
    <row r="26" spans="1:55" s="1" customFormat="1" ht="47.25" x14ac:dyDescent="0.25">
      <c r="A26" s="283"/>
      <c r="B26" s="283"/>
      <c r="C26" s="21" t="s">
        <v>92</v>
      </c>
      <c r="D26" s="41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50">
        <f t="shared" ref="AN26:AN28" si="2">E26+G26+M26+O26+Q26+S26+AA26+AC26+AE26+AG26+AI26+AK26+AM26+I26+K26+U26+W26</f>
        <v>0</v>
      </c>
      <c r="AO26" s="43"/>
      <c r="AP26" s="26"/>
      <c r="AQ26" s="44"/>
      <c r="AR26" s="36"/>
      <c r="AS26" s="27"/>
      <c r="AT26" s="50"/>
      <c r="AU26" s="43"/>
      <c r="AV26" s="27"/>
      <c r="AW26" s="27"/>
      <c r="AX26" s="27"/>
      <c r="AY26" s="27"/>
      <c r="AZ26" s="44"/>
      <c r="BA26" s="36"/>
      <c r="BB26" s="44"/>
      <c r="BC26" s="188">
        <f t="shared" si="1"/>
        <v>0</v>
      </c>
    </row>
    <row r="27" spans="1:55" s="1" customFormat="1" ht="31.5" x14ac:dyDescent="0.25">
      <c r="A27" s="283"/>
      <c r="B27" s="283"/>
      <c r="C27" s="21" t="s">
        <v>180</v>
      </c>
      <c r="D27" s="41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50">
        <f t="shared" si="2"/>
        <v>0</v>
      </c>
      <c r="AO27" s="43"/>
      <c r="AP27" s="26"/>
      <c r="AQ27" s="44">
        <v>671723800</v>
      </c>
      <c r="AR27" s="36"/>
      <c r="AS27" s="27"/>
      <c r="AT27" s="50"/>
      <c r="AU27" s="43"/>
      <c r="AV27" s="27"/>
      <c r="AW27" s="27"/>
      <c r="AX27" s="27"/>
      <c r="AY27" s="27"/>
      <c r="AZ27" s="44"/>
      <c r="BA27" s="36"/>
      <c r="BB27" s="44"/>
      <c r="BC27" s="188">
        <f t="shared" si="1"/>
        <v>671723800</v>
      </c>
    </row>
    <row r="28" spans="1:55" s="1" customFormat="1" ht="16.5" thickBot="1" x14ac:dyDescent="0.3">
      <c r="A28" s="284"/>
      <c r="B28" s="284"/>
      <c r="C28" s="22" t="s">
        <v>148</v>
      </c>
      <c r="D28" s="74"/>
      <c r="E28" s="61">
        <v>3162256</v>
      </c>
      <c r="F28" s="61"/>
      <c r="G28" s="61">
        <v>1938819</v>
      </c>
      <c r="H28" s="61"/>
      <c r="I28" s="61">
        <v>776817</v>
      </c>
      <c r="J28" s="61"/>
      <c r="K28" s="61">
        <v>601536</v>
      </c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6">
        <f t="shared" si="2"/>
        <v>6479428</v>
      </c>
      <c r="AO28" s="45"/>
      <c r="AP28" s="32"/>
      <c r="AQ28" s="46"/>
      <c r="AR28" s="37"/>
      <c r="AS28" s="33"/>
      <c r="AT28" s="51"/>
      <c r="AU28" s="45"/>
      <c r="AV28" s="33"/>
      <c r="AW28" s="33"/>
      <c r="AX28" s="33"/>
      <c r="AY28" s="33"/>
      <c r="AZ28" s="46"/>
      <c r="BA28" s="37"/>
      <c r="BB28" s="46"/>
      <c r="BC28" s="189">
        <f t="shared" si="1"/>
        <v>6479428</v>
      </c>
    </row>
    <row r="29" spans="1:55" s="1" customFormat="1" x14ac:dyDescent="0.25">
      <c r="A29" s="285">
        <v>2</v>
      </c>
      <c r="B29" s="285">
        <v>790002</v>
      </c>
      <c r="C29" s="197" t="s">
        <v>10</v>
      </c>
      <c r="D29" s="73">
        <v>87043</v>
      </c>
      <c r="E29" s="30">
        <v>86083224</v>
      </c>
      <c r="F29" s="30">
        <v>10254</v>
      </c>
      <c r="G29" s="30">
        <v>33889451</v>
      </c>
      <c r="H29" s="30">
        <f>1410+1</f>
        <v>1411</v>
      </c>
      <c r="I29" s="30">
        <f>1608336+792</f>
        <v>1609128</v>
      </c>
      <c r="J29" s="30">
        <v>268</v>
      </c>
      <c r="K29" s="30">
        <v>1197092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>
        <v>1</v>
      </c>
      <c r="W29" s="30">
        <v>3426</v>
      </c>
      <c r="X29" s="30"/>
      <c r="Y29" s="30"/>
      <c r="Z29" s="30"/>
      <c r="AA29" s="30">
        <v>0</v>
      </c>
      <c r="AB29" s="30">
        <v>323</v>
      </c>
      <c r="AC29" s="30">
        <v>4937754</v>
      </c>
      <c r="AD29" s="30"/>
      <c r="AE29" s="30"/>
      <c r="AF29" s="30"/>
      <c r="AG29" s="30"/>
      <c r="AH29" s="30">
        <f>13747-18+209</f>
        <v>13938</v>
      </c>
      <c r="AI29" s="30">
        <f>53912910-71244+1319037</f>
        <v>55160703</v>
      </c>
      <c r="AJ29" s="30">
        <v>35654</v>
      </c>
      <c r="AK29" s="30">
        <v>55936135</v>
      </c>
      <c r="AL29" s="30"/>
      <c r="AM29" s="30"/>
      <c r="AN29" s="40">
        <f t="shared" ref="AN29:AN36" si="3">E29+G29+M29+O29+Q29+S29+AA29+AC29+AE29+AG29+AI29+AK29+AM29+I29+K29+U29+W29</f>
        <v>238816913</v>
      </c>
      <c r="AO29" s="47">
        <f>1286-1</f>
        <v>1285</v>
      </c>
      <c r="AP29" s="28"/>
      <c r="AQ29" s="48">
        <f>68226898-16086</f>
        <v>68210812</v>
      </c>
      <c r="AR29" s="38">
        <v>1192</v>
      </c>
      <c r="AS29" s="29"/>
      <c r="AT29" s="52">
        <v>33323722</v>
      </c>
      <c r="AU29" s="47"/>
      <c r="AV29" s="29"/>
      <c r="AW29" s="29"/>
      <c r="AX29" s="29"/>
      <c r="AY29" s="29"/>
      <c r="AZ29" s="48"/>
      <c r="BA29" s="38"/>
      <c r="BB29" s="48"/>
      <c r="BC29" s="192">
        <f t="shared" si="1"/>
        <v>340351447</v>
      </c>
    </row>
    <row r="30" spans="1:55" s="1" customFormat="1" ht="31.5" x14ac:dyDescent="0.25">
      <c r="A30" s="285"/>
      <c r="B30" s="285"/>
      <c r="C30" s="18" t="s">
        <v>190</v>
      </c>
      <c r="D30" s="4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44">
        <f t="shared" si="3"/>
        <v>0</v>
      </c>
      <c r="AO30" s="43"/>
      <c r="AP30" s="26"/>
      <c r="AQ30" s="44"/>
      <c r="AR30" s="36"/>
      <c r="AS30" s="27"/>
      <c r="AT30" s="50"/>
      <c r="AU30" s="43"/>
      <c r="AV30" s="27"/>
      <c r="AW30" s="27"/>
      <c r="AX30" s="27"/>
      <c r="AY30" s="27"/>
      <c r="AZ30" s="44"/>
      <c r="BA30" s="36"/>
      <c r="BB30" s="44"/>
      <c r="BC30" s="192">
        <f t="shared" si="1"/>
        <v>0</v>
      </c>
    </row>
    <row r="31" spans="1:55" s="1" customFormat="1" x14ac:dyDescent="0.25">
      <c r="A31" s="285"/>
      <c r="B31" s="285"/>
      <c r="C31" s="178" t="s">
        <v>179</v>
      </c>
      <c r="D31" s="41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44">
        <f t="shared" si="3"/>
        <v>0</v>
      </c>
      <c r="AO31" s="43"/>
      <c r="AP31" s="26"/>
      <c r="AQ31" s="44"/>
      <c r="AR31" s="36"/>
      <c r="AS31" s="27"/>
      <c r="AT31" s="50"/>
      <c r="AU31" s="43"/>
      <c r="AV31" s="27"/>
      <c r="AW31" s="27"/>
      <c r="AX31" s="27"/>
      <c r="AY31" s="27"/>
      <c r="AZ31" s="44"/>
      <c r="BA31" s="36"/>
      <c r="BB31" s="44"/>
      <c r="BC31" s="188">
        <f t="shared" si="1"/>
        <v>0</v>
      </c>
    </row>
    <row r="32" spans="1:55" s="1" customFormat="1" x14ac:dyDescent="0.25">
      <c r="A32" s="285"/>
      <c r="B32" s="285"/>
      <c r="C32" s="18" t="s">
        <v>87</v>
      </c>
      <c r="D32" s="41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44">
        <f t="shared" si="3"/>
        <v>0</v>
      </c>
      <c r="AO32" s="43"/>
      <c r="AP32" s="26"/>
      <c r="AQ32" s="44"/>
      <c r="AR32" s="36"/>
      <c r="AS32" s="27"/>
      <c r="AT32" s="50"/>
      <c r="AU32" s="43"/>
      <c r="AV32" s="27"/>
      <c r="AW32" s="27"/>
      <c r="AX32" s="27"/>
      <c r="AY32" s="27"/>
      <c r="AZ32" s="44"/>
      <c r="BA32" s="36"/>
      <c r="BB32" s="44"/>
      <c r="BC32" s="188">
        <f t="shared" si="1"/>
        <v>0</v>
      </c>
    </row>
    <row r="33" spans="1:55" s="1" customFormat="1" x14ac:dyDescent="0.25">
      <c r="A33" s="285"/>
      <c r="B33" s="285"/>
      <c r="C33" s="18" t="s">
        <v>74</v>
      </c>
      <c r="D33" s="41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>
        <f>1626+102</f>
        <v>1728</v>
      </c>
      <c r="AM33" s="26">
        <f>2770883+173820</f>
        <v>2944703</v>
      </c>
      <c r="AN33" s="44">
        <f t="shared" si="3"/>
        <v>2944703</v>
      </c>
      <c r="AO33" s="43"/>
      <c r="AP33" s="26"/>
      <c r="AQ33" s="44"/>
      <c r="AR33" s="36"/>
      <c r="AS33" s="27"/>
      <c r="AT33" s="50"/>
      <c r="AU33" s="43"/>
      <c r="AV33" s="27"/>
      <c r="AW33" s="27"/>
      <c r="AX33" s="27"/>
      <c r="AY33" s="27"/>
      <c r="AZ33" s="44"/>
      <c r="BA33" s="36"/>
      <c r="BB33" s="44"/>
      <c r="BC33" s="188">
        <f t="shared" si="1"/>
        <v>2944703</v>
      </c>
    </row>
    <row r="34" spans="1:55" s="1" customFormat="1" x14ac:dyDescent="0.25">
      <c r="A34" s="285"/>
      <c r="B34" s="285"/>
      <c r="C34" s="18" t="s">
        <v>75</v>
      </c>
      <c r="D34" s="41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>
        <f>271+8</f>
        <v>279</v>
      </c>
      <c r="AM34" s="26">
        <f>293811+8674</f>
        <v>302485</v>
      </c>
      <c r="AN34" s="44">
        <f t="shared" si="3"/>
        <v>302485</v>
      </c>
      <c r="AO34" s="43"/>
      <c r="AP34" s="26"/>
      <c r="AQ34" s="44"/>
      <c r="AR34" s="36"/>
      <c r="AS34" s="27"/>
      <c r="AT34" s="50"/>
      <c r="AU34" s="43"/>
      <c r="AV34" s="27"/>
      <c r="AW34" s="27"/>
      <c r="AX34" s="27"/>
      <c r="AY34" s="27"/>
      <c r="AZ34" s="44"/>
      <c r="BA34" s="36"/>
      <c r="BB34" s="44"/>
      <c r="BC34" s="188">
        <f t="shared" si="1"/>
        <v>302485</v>
      </c>
    </row>
    <row r="35" spans="1:55" s="1" customFormat="1" x14ac:dyDescent="0.25">
      <c r="A35" s="285"/>
      <c r="B35" s="285"/>
      <c r="C35" s="18" t="s">
        <v>112</v>
      </c>
      <c r="D35" s="4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>
        <v>42</v>
      </c>
      <c r="AM35" s="26">
        <v>61192</v>
      </c>
      <c r="AN35" s="44">
        <f t="shared" si="3"/>
        <v>61192</v>
      </c>
      <c r="AO35" s="43"/>
      <c r="AP35" s="26"/>
      <c r="AQ35" s="44"/>
      <c r="AR35" s="36"/>
      <c r="AS35" s="27"/>
      <c r="AT35" s="50"/>
      <c r="AU35" s="43"/>
      <c r="AV35" s="27"/>
      <c r="AW35" s="27"/>
      <c r="AX35" s="27"/>
      <c r="AY35" s="27"/>
      <c r="AZ35" s="44"/>
      <c r="BA35" s="36"/>
      <c r="BB35" s="44"/>
      <c r="BC35" s="188">
        <f t="shared" si="1"/>
        <v>61192</v>
      </c>
    </row>
    <row r="36" spans="1:55" s="1" customFormat="1" ht="16.5" thickBot="1" x14ac:dyDescent="0.3">
      <c r="A36" s="285"/>
      <c r="B36" s="285"/>
      <c r="C36" s="21" t="s">
        <v>148</v>
      </c>
      <c r="D36" s="54"/>
      <c r="E36" s="32">
        <v>1524928</v>
      </c>
      <c r="F36" s="32"/>
      <c r="G36" s="32">
        <v>600338</v>
      </c>
      <c r="H36" s="32"/>
      <c r="I36" s="32">
        <v>28505</v>
      </c>
      <c r="J36" s="32"/>
      <c r="K36" s="32">
        <v>21205</v>
      </c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46">
        <f t="shared" si="3"/>
        <v>2174976</v>
      </c>
      <c r="AO36" s="62"/>
      <c r="AP36" s="61"/>
      <c r="AQ36" s="64"/>
      <c r="AR36" s="65"/>
      <c r="AS36" s="63"/>
      <c r="AT36" s="66"/>
      <c r="AU36" s="62"/>
      <c r="AV36" s="63"/>
      <c r="AW36" s="63"/>
      <c r="AX36" s="63"/>
      <c r="AY36" s="63"/>
      <c r="AZ36" s="64"/>
      <c r="BA36" s="65"/>
      <c r="BB36" s="64"/>
      <c r="BC36" s="190">
        <f t="shared" si="1"/>
        <v>2174976</v>
      </c>
    </row>
    <row r="37" spans="1:55" s="1" customFormat="1" ht="16.5" thickBot="1" x14ac:dyDescent="0.3">
      <c r="A37" s="94">
        <v>3</v>
      </c>
      <c r="B37" s="101">
        <v>790003</v>
      </c>
      <c r="C37" s="158" t="s">
        <v>14</v>
      </c>
      <c r="D37" s="77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60">
        <v>0</v>
      </c>
      <c r="AO37" s="56"/>
      <c r="AP37" s="55"/>
      <c r="AQ37" s="58"/>
      <c r="AR37" s="59"/>
      <c r="AS37" s="57"/>
      <c r="AT37" s="60"/>
      <c r="AU37" s="56">
        <v>68214</v>
      </c>
      <c r="AV37" s="57">
        <v>361436</v>
      </c>
      <c r="AW37" s="57">
        <v>111401911</v>
      </c>
      <c r="AX37" s="57">
        <v>1289</v>
      </c>
      <c r="AY37" s="57">
        <v>38614</v>
      </c>
      <c r="AZ37" s="58">
        <v>11900441</v>
      </c>
      <c r="BA37" s="59"/>
      <c r="BB37" s="58"/>
      <c r="BC37" s="191">
        <f t="shared" si="1"/>
        <v>123302352</v>
      </c>
    </row>
    <row r="38" spans="1:55" s="1" customFormat="1" x14ac:dyDescent="0.25">
      <c r="A38" s="285">
        <v>4</v>
      </c>
      <c r="B38" s="283">
        <v>790004</v>
      </c>
      <c r="C38" s="197" t="s">
        <v>13</v>
      </c>
      <c r="D38" s="75">
        <f>250+21</f>
        <v>271</v>
      </c>
      <c r="E38" s="28">
        <f>163841+13656</f>
        <v>177497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>
        <v>474</v>
      </c>
      <c r="AK38" s="28">
        <v>676038</v>
      </c>
      <c r="AL38" s="28"/>
      <c r="AM38" s="28"/>
      <c r="AN38" s="52">
        <f t="shared" ref="AN38:AN48" si="4">E38+G38+M38+O38+Q38+S38+AA38+AC38+AE38+AG38+AI38+AK38+AM38+I38+K38+U38+W38</f>
        <v>853535</v>
      </c>
      <c r="AO38" s="47">
        <f>2181+112</f>
        <v>2293</v>
      </c>
      <c r="AP38" s="28"/>
      <c r="AQ38" s="48">
        <f>125231406+7305428</f>
        <v>132536834</v>
      </c>
      <c r="AR38" s="38">
        <v>101</v>
      </c>
      <c r="AS38" s="29"/>
      <c r="AT38" s="52">
        <v>10434938</v>
      </c>
      <c r="AU38" s="47"/>
      <c r="AV38" s="29"/>
      <c r="AW38" s="29"/>
      <c r="AX38" s="29"/>
      <c r="AY38" s="29"/>
      <c r="AZ38" s="48"/>
      <c r="BA38" s="38"/>
      <c r="BB38" s="48"/>
      <c r="BC38" s="192">
        <f t="shared" si="1"/>
        <v>143825307</v>
      </c>
    </row>
    <row r="39" spans="1:55" s="1" customFormat="1" ht="31.5" x14ac:dyDescent="0.25">
      <c r="A39" s="285"/>
      <c r="B39" s="283"/>
      <c r="C39" s="185" t="s">
        <v>180</v>
      </c>
      <c r="D39" s="41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50">
        <f t="shared" si="4"/>
        <v>0</v>
      </c>
      <c r="AO39" s="43"/>
      <c r="AP39" s="26"/>
      <c r="AQ39" s="44">
        <v>69755400</v>
      </c>
      <c r="AR39" s="36"/>
      <c r="AS39" s="27"/>
      <c r="AT39" s="50"/>
      <c r="AU39" s="43"/>
      <c r="AV39" s="27"/>
      <c r="AW39" s="27"/>
      <c r="AX39" s="27"/>
      <c r="AY39" s="27"/>
      <c r="AZ39" s="44"/>
      <c r="BA39" s="36"/>
      <c r="BB39" s="44"/>
      <c r="BC39" s="192">
        <f t="shared" si="1"/>
        <v>69755400</v>
      </c>
    </row>
    <row r="40" spans="1:55" s="1" customFormat="1" ht="16.5" thickBot="1" x14ac:dyDescent="0.3">
      <c r="A40" s="285"/>
      <c r="B40" s="283"/>
      <c r="C40" s="21" t="s">
        <v>91</v>
      </c>
      <c r="D40" s="74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>
        <f>1539+29</f>
        <v>1568</v>
      </c>
      <c r="AM40" s="61">
        <f>7082491+136136</f>
        <v>7218627</v>
      </c>
      <c r="AN40" s="66">
        <f t="shared" si="4"/>
        <v>7218627</v>
      </c>
      <c r="AO40" s="62"/>
      <c r="AP40" s="61"/>
      <c r="AQ40" s="64"/>
      <c r="AR40" s="65"/>
      <c r="AS40" s="63"/>
      <c r="AT40" s="66"/>
      <c r="AU40" s="62"/>
      <c r="AV40" s="63"/>
      <c r="AW40" s="63"/>
      <c r="AX40" s="63"/>
      <c r="AY40" s="63"/>
      <c r="AZ40" s="64"/>
      <c r="BA40" s="65"/>
      <c r="BB40" s="64"/>
      <c r="BC40" s="190">
        <f t="shared" si="1"/>
        <v>7218627</v>
      </c>
    </row>
    <row r="41" spans="1:55" s="1" customFormat="1" x14ac:dyDescent="0.25">
      <c r="A41" s="270">
        <v>5</v>
      </c>
      <c r="B41" s="282">
        <v>790005</v>
      </c>
      <c r="C41" s="96" t="s">
        <v>12</v>
      </c>
      <c r="D41" s="73">
        <v>8487</v>
      </c>
      <c r="E41" s="30">
        <v>7945647</v>
      </c>
      <c r="F41" s="30">
        <v>5075</v>
      </c>
      <c r="G41" s="30">
        <v>17357718</v>
      </c>
      <c r="H41" s="30">
        <v>532</v>
      </c>
      <c r="I41" s="30">
        <v>382568</v>
      </c>
      <c r="J41" s="30">
        <v>132</v>
      </c>
      <c r="K41" s="30">
        <v>304229</v>
      </c>
      <c r="L41" s="30">
        <v>48</v>
      </c>
      <c r="M41" s="30">
        <v>104881</v>
      </c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49">
        <f t="shared" si="4"/>
        <v>26095043</v>
      </c>
      <c r="AO41" s="39">
        <v>534</v>
      </c>
      <c r="AP41" s="30"/>
      <c r="AQ41" s="40">
        <v>42554682</v>
      </c>
      <c r="AR41" s="35">
        <v>474</v>
      </c>
      <c r="AS41" s="31"/>
      <c r="AT41" s="49">
        <v>11328867</v>
      </c>
      <c r="AU41" s="39"/>
      <c r="AV41" s="31"/>
      <c r="AW41" s="31"/>
      <c r="AX41" s="31"/>
      <c r="AY41" s="31"/>
      <c r="AZ41" s="40"/>
      <c r="BA41" s="35"/>
      <c r="BB41" s="40"/>
      <c r="BC41" s="186">
        <f t="shared" si="1"/>
        <v>79978592</v>
      </c>
    </row>
    <row r="42" spans="1:55" s="1" customFormat="1" ht="16.5" thickBot="1" x14ac:dyDescent="0.3">
      <c r="A42" s="286"/>
      <c r="B42" s="284"/>
      <c r="C42" s="22" t="s">
        <v>56</v>
      </c>
      <c r="D42" s="54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>
        <f>1641+167</f>
        <v>1808</v>
      </c>
      <c r="AM42" s="32">
        <f>1437049+90474</f>
        <v>1527523</v>
      </c>
      <c r="AN42" s="51">
        <f t="shared" si="4"/>
        <v>1527523</v>
      </c>
      <c r="AO42" s="45"/>
      <c r="AP42" s="32"/>
      <c r="AQ42" s="46"/>
      <c r="AR42" s="37"/>
      <c r="AS42" s="33"/>
      <c r="AT42" s="51"/>
      <c r="AU42" s="45"/>
      <c r="AV42" s="33"/>
      <c r="AW42" s="33"/>
      <c r="AX42" s="33"/>
      <c r="AY42" s="33"/>
      <c r="AZ42" s="46"/>
      <c r="BA42" s="37"/>
      <c r="BB42" s="46"/>
      <c r="BC42" s="189">
        <f t="shared" si="1"/>
        <v>1527523</v>
      </c>
    </row>
    <row r="43" spans="1:55" s="1" customFormat="1" x14ac:dyDescent="0.25">
      <c r="A43" s="285">
        <v>6</v>
      </c>
      <c r="B43" s="285">
        <v>790008</v>
      </c>
      <c r="C43" s="97" t="s">
        <v>20</v>
      </c>
      <c r="D43" s="75">
        <v>35009</v>
      </c>
      <c r="E43" s="28">
        <v>31653050</v>
      </c>
      <c r="F43" s="28">
        <v>3793</v>
      </c>
      <c r="G43" s="28">
        <v>17639412</v>
      </c>
      <c r="H43" s="28">
        <v>3051</v>
      </c>
      <c r="I43" s="28">
        <f>6896562-86269-243691-86269</f>
        <v>6480333</v>
      </c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>
        <v>11377</v>
      </c>
      <c r="Y43" s="28">
        <v>578</v>
      </c>
      <c r="Z43" s="28"/>
      <c r="AA43" s="28">
        <v>36553382</v>
      </c>
      <c r="AB43" s="28">
        <f>175+16</f>
        <v>191</v>
      </c>
      <c r="AC43" s="28">
        <f>1198086+95088</f>
        <v>1293174</v>
      </c>
      <c r="AD43" s="28"/>
      <c r="AE43" s="28"/>
      <c r="AF43" s="28">
        <f>12+15</f>
        <v>27</v>
      </c>
      <c r="AG43" s="28">
        <f>20837+27675</f>
        <v>48512</v>
      </c>
      <c r="AH43" s="28">
        <f>1779-2+15</f>
        <v>1792</v>
      </c>
      <c r="AI43" s="28">
        <f>6582335-20859+39500</f>
        <v>6600976</v>
      </c>
      <c r="AJ43" s="28">
        <v>1152</v>
      </c>
      <c r="AK43" s="28">
        <v>1560880</v>
      </c>
      <c r="AL43" s="28"/>
      <c r="AM43" s="28"/>
      <c r="AN43" s="52">
        <f t="shared" si="4"/>
        <v>101829719</v>
      </c>
      <c r="AO43" s="47">
        <v>1312</v>
      </c>
      <c r="AP43" s="28"/>
      <c r="AQ43" s="48">
        <v>51509072</v>
      </c>
      <c r="AR43" s="38">
        <v>29</v>
      </c>
      <c r="AS43" s="29"/>
      <c r="AT43" s="52">
        <v>617650</v>
      </c>
      <c r="AU43" s="47">
        <v>8210</v>
      </c>
      <c r="AV43" s="29">
        <v>23112</v>
      </c>
      <c r="AW43" s="29">
        <v>6766558</v>
      </c>
      <c r="AX43" s="29"/>
      <c r="AY43" s="29"/>
      <c r="AZ43" s="48"/>
      <c r="BA43" s="38"/>
      <c r="BB43" s="48"/>
      <c r="BC43" s="192">
        <f t="shared" si="1"/>
        <v>160722999</v>
      </c>
    </row>
    <row r="44" spans="1:55" s="1" customFormat="1" ht="31.5" x14ac:dyDescent="0.25">
      <c r="A44" s="285"/>
      <c r="B44" s="285"/>
      <c r="C44" s="18" t="s">
        <v>190</v>
      </c>
      <c r="D44" s="4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52">
        <f t="shared" si="4"/>
        <v>0</v>
      </c>
      <c r="AO44" s="43"/>
      <c r="AP44" s="26"/>
      <c r="AQ44" s="44"/>
      <c r="AR44" s="36"/>
      <c r="AS44" s="27"/>
      <c r="AT44" s="50"/>
      <c r="AU44" s="43"/>
      <c r="AV44" s="27"/>
      <c r="AW44" s="27"/>
      <c r="AX44" s="27"/>
      <c r="AY44" s="27"/>
      <c r="AZ44" s="44"/>
      <c r="BA44" s="36"/>
      <c r="BB44" s="44"/>
      <c r="BC44" s="188">
        <f t="shared" si="1"/>
        <v>0</v>
      </c>
    </row>
    <row r="45" spans="1:55" s="1" customFormat="1" x14ac:dyDescent="0.25">
      <c r="A45" s="285"/>
      <c r="B45" s="285"/>
      <c r="C45" s="19" t="s">
        <v>191</v>
      </c>
      <c r="D45" s="4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52">
        <f t="shared" si="4"/>
        <v>0</v>
      </c>
      <c r="AO45" s="43"/>
      <c r="AP45" s="26"/>
      <c r="AQ45" s="44"/>
      <c r="AR45" s="36"/>
      <c r="AS45" s="27"/>
      <c r="AT45" s="50"/>
      <c r="AU45" s="43"/>
      <c r="AV45" s="27"/>
      <c r="AW45" s="27"/>
      <c r="AX45" s="27"/>
      <c r="AY45" s="27"/>
      <c r="AZ45" s="44"/>
      <c r="BA45" s="36"/>
      <c r="BB45" s="44"/>
      <c r="BC45" s="192">
        <f t="shared" si="1"/>
        <v>0</v>
      </c>
    </row>
    <row r="46" spans="1:55" s="1" customFormat="1" x14ac:dyDescent="0.25">
      <c r="A46" s="285"/>
      <c r="B46" s="285"/>
      <c r="C46" s="19" t="s">
        <v>60</v>
      </c>
      <c r="D46" s="41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>
        <v>555</v>
      </c>
      <c r="AM46" s="26">
        <v>49856</v>
      </c>
      <c r="AN46" s="52">
        <f t="shared" si="4"/>
        <v>49856</v>
      </c>
      <c r="AO46" s="43"/>
      <c r="AP46" s="26"/>
      <c r="AQ46" s="44"/>
      <c r="AR46" s="36"/>
      <c r="AS46" s="27"/>
      <c r="AT46" s="50"/>
      <c r="AU46" s="43"/>
      <c r="AV46" s="27"/>
      <c r="AW46" s="27"/>
      <c r="AX46" s="27"/>
      <c r="AY46" s="27"/>
      <c r="AZ46" s="44"/>
      <c r="BA46" s="36"/>
      <c r="BB46" s="44"/>
      <c r="BC46" s="188">
        <f t="shared" si="1"/>
        <v>49856</v>
      </c>
    </row>
    <row r="47" spans="1:55" s="1" customFormat="1" x14ac:dyDescent="0.25">
      <c r="A47" s="285"/>
      <c r="B47" s="285"/>
      <c r="C47" s="18" t="s">
        <v>75</v>
      </c>
      <c r="D47" s="41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>
        <v>242</v>
      </c>
      <c r="AM47" s="26">
        <v>239914</v>
      </c>
      <c r="AN47" s="52">
        <f t="shared" si="4"/>
        <v>239914</v>
      </c>
      <c r="AO47" s="43"/>
      <c r="AP47" s="26"/>
      <c r="AQ47" s="44"/>
      <c r="AR47" s="36"/>
      <c r="AS47" s="27"/>
      <c r="AT47" s="50"/>
      <c r="AU47" s="43"/>
      <c r="AV47" s="27"/>
      <c r="AW47" s="27"/>
      <c r="AX47" s="27"/>
      <c r="AY47" s="27"/>
      <c r="AZ47" s="44"/>
      <c r="BA47" s="36"/>
      <c r="BB47" s="44"/>
      <c r="BC47" s="188">
        <f t="shared" si="1"/>
        <v>239914</v>
      </c>
    </row>
    <row r="48" spans="1:55" s="1" customFormat="1" ht="16.5" thickBot="1" x14ac:dyDescent="0.3">
      <c r="A48" s="285"/>
      <c r="B48" s="285"/>
      <c r="C48" s="21" t="s">
        <v>148</v>
      </c>
      <c r="D48" s="74"/>
      <c r="E48" s="61">
        <v>890429</v>
      </c>
      <c r="F48" s="61"/>
      <c r="G48" s="61">
        <v>496213</v>
      </c>
      <c r="H48" s="61"/>
      <c r="I48" s="61">
        <v>182298</v>
      </c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52">
        <f t="shared" si="4"/>
        <v>1568940</v>
      </c>
      <c r="AO48" s="62"/>
      <c r="AP48" s="61"/>
      <c r="AQ48" s="64"/>
      <c r="AR48" s="65"/>
      <c r="AS48" s="63"/>
      <c r="AT48" s="66"/>
      <c r="AU48" s="62"/>
      <c r="AV48" s="63"/>
      <c r="AW48" s="63"/>
      <c r="AX48" s="63"/>
      <c r="AY48" s="63"/>
      <c r="AZ48" s="64"/>
      <c r="BA48" s="65"/>
      <c r="BB48" s="64"/>
      <c r="BC48" s="190">
        <f t="shared" si="1"/>
        <v>1568940</v>
      </c>
    </row>
    <row r="49" spans="1:55" s="1" customFormat="1" x14ac:dyDescent="0.25">
      <c r="A49" s="287">
        <v>7</v>
      </c>
      <c r="B49" s="282">
        <v>790009</v>
      </c>
      <c r="C49" s="17" t="s">
        <v>21</v>
      </c>
      <c r="D49" s="73">
        <v>12683</v>
      </c>
      <c r="E49" s="30">
        <v>18781973</v>
      </c>
      <c r="F49" s="30">
        <v>2543</v>
      </c>
      <c r="G49" s="30">
        <v>12805941</v>
      </c>
      <c r="H49" s="30">
        <v>753</v>
      </c>
      <c r="I49" s="30">
        <v>1600403</v>
      </c>
      <c r="J49" s="30">
        <v>319</v>
      </c>
      <c r="K49" s="30">
        <v>2208059</v>
      </c>
      <c r="L49" s="30">
        <f>19+1</f>
        <v>20</v>
      </c>
      <c r="M49" s="30">
        <f>39440+2076</f>
        <v>41516</v>
      </c>
      <c r="N49" s="30"/>
      <c r="O49" s="30"/>
      <c r="P49" s="30">
        <f>51+12</f>
        <v>63</v>
      </c>
      <c r="Q49" s="30">
        <f>100189+23574</f>
        <v>123763</v>
      </c>
      <c r="R49" s="30">
        <v>57</v>
      </c>
      <c r="S49" s="30">
        <v>249211</v>
      </c>
      <c r="T49" s="30"/>
      <c r="U49" s="30"/>
      <c r="V49" s="30"/>
      <c r="W49" s="30"/>
      <c r="X49" s="30">
        <v>5106</v>
      </c>
      <c r="Y49" s="30">
        <v>1284</v>
      </c>
      <c r="Z49" s="30"/>
      <c r="AA49" s="30">
        <v>21592270</v>
      </c>
      <c r="AB49" s="30">
        <f>1194+18</f>
        <v>1212</v>
      </c>
      <c r="AC49" s="30">
        <f>6239265+77995</f>
        <v>6317260</v>
      </c>
      <c r="AD49" s="30"/>
      <c r="AE49" s="30"/>
      <c r="AF49" s="30">
        <f>312+6</f>
        <v>318</v>
      </c>
      <c r="AG49" s="30">
        <f>534301+9768</f>
        <v>544069</v>
      </c>
      <c r="AH49" s="30">
        <v>1348</v>
      </c>
      <c r="AI49" s="30">
        <v>4660978</v>
      </c>
      <c r="AJ49" s="30">
        <v>785</v>
      </c>
      <c r="AK49" s="30">
        <v>1063621</v>
      </c>
      <c r="AL49" s="30"/>
      <c r="AM49" s="30"/>
      <c r="AN49" s="40">
        <f>E49+G49+M49+O49+Q49+S49+AA49+AC49+AE49+AG49+AI49+AK49+AM49+I49+K49+U49+W49</f>
        <v>69989064</v>
      </c>
      <c r="AO49" s="39">
        <f>1493+11</f>
        <v>1504</v>
      </c>
      <c r="AP49" s="30"/>
      <c r="AQ49" s="40">
        <f>56280689+695495</f>
        <v>56976184</v>
      </c>
      <c r="AR49" s="35"/>
      <c r="AS49" s="31"/>
      <c r="AT49" s="49"/>
      <c r="AU49" s="39">
        <f>1526+90</f>
        <v>1616</v>
      </c>
      <c r="AV49" s="31">
        <f>7285+597</f>
        <v>7882</v>
      </c>
      <c r="AW49" s="31">
        <f>2132851+174638</f>
        <v>2307489</v>
      </c>
      <c r="AX49" s="31"/>
      <c r="AY49" s="31"/>
      <c r="AZ49" s="40"/>
      <c r="BA49" s="35"/>
      <c r="BB49" s="40"/>
      <c r="BC49" s="186">
        <f t="shared" si="1"/>
        <v>129272737</v>
      </c>
    </row>
    <row r="50" spans="1:55" s="1" customFormat="1" ht="31.5" x14ac:dyDescent="0.25">
      <c r="A50" s="285"/>
      <c r="B50" s="283"/>
      <c r="C50" s="18" t="s">
        <v>190</v>
      </c>
      <c r="D50" s="4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44">
        <f t="shared" ref="AN50:AN51" si="5">E50+G50+M50+O50+Q50+S50+AA50+AC50+AE50+AG50+AI50+AK50+AM50+I50+K50+U50+W50</f>
        <v>0</v>
      </c>
      <c r="AO50" s="43"/>
      <c r="AP50" s="26"/>
      <c r="AQ50" s="44"/>
      <c r="AR50" s="36"/>
      <c r="AS50" s="27"/>
      <c r="AT50" s="50"/>
      <c r="AU50" s="43"/>
      <c r="AV50" s="27"/>
      <c r="AW50" s="27"/>
      <c r="AX50" s="27"/>
      <c r="AY50" s="27"/>
      <c r="AZ50" s="44"/>
      <c r="BA50" s="36"/>
      <c r="BB50" s="44"/>
      <c r="BC50" s="192">
        <f t="shared" si="1"/>
        <v>0</v>
      </c>
    </row>
    <row r="51" spans="1:55" s="1" customFormat="1" x14ac:dyDescent="0.25">
      <c r="A51" s="285"/>
      <c r="B51" s="283"/>
      <c r="C51" s="19" t="s">
        <v>191</v>
      </c>
      <c r="D51" s="4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44">
        <f t="shared" si="5"/>
        <v>0</v>
      </c>
      <c r="AO51" s="43"/>
      <c r="AP51" s="26"/>
      <c r="AQ51" s="44"/>
      <c r="AR51" s="36"/>
      <c r="AS51" s="27"/>
      <c r="AT51" s="50"/>
      <c r="AU51" s="43"/>
      <c r="AV51" s="27"/>
      <c r="AW51" s="27"/>
      <c r="AX51" s="27"/>
      <c r="AY51" s="27"/>
      <c r="AZ51" s="44"/>
      <c r="BA51" s="36"/>
      <c r="BB51" s="44"/>
      <c r="BC51" s="192">
        <f t="shared" si="1"/>
        <v>0</v>
      </c>
    </row>
    <row r="52" spans="1:55" s="1" customFormat="1" x14ac:dyDescent="0.25">
      <c r="A52" s="285"/>
      <c r="B52" s="283"/>
      <c r="C52" s="19" t="s">
        <v>60</v>
      </c>
      <c r="D52" s="4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>
        <v>1810</v>
      </c>
      <c r="AM52" s="26">
        <v>192395</v>
      </c>
      <c r="AN52" s="44">
        <f>E52+G52+M52+O52+Q52+S52+AA52+AC52+AE52+AG52+AI52+AK52+AM52+I52+K52+U52+W52</f>
        <v>192395</v>
      </c>
      <c r="AO52" s="43"/>
      <c r="AP52" s="26"/>
      <c r="AQ52" s="44"/>
      <c r="AR52" s="36"/>
      <c r="AS52" s="27"/>
      <c r="AT52" s="50"/>
      <c r="AU52" s="43"/>
      <c r="AV52" s="27"/>
      <c r="AW52" s="27"/>
      <c r="AX52" s="27"/>
      <c r="AY52" s="27"/>
      <c r="AZ52" s="44"/>
      <c r="BA52" s="36"/>
      <c r="BB52" s="44"/>
      <c r="BC52" s="188">
        <f t="shared" si="1"/>
        <v>192395</v>
      </c>
    </row>
    <row r="53" spans="1:55" s="1" customFormat="1" x14ac:dyDescent="0.25">
      <c r="A53" s="285"/>
      <c r="B53" s="283"/>
      <c r="C53" s="19" t="s">
        <v>56</v>
      </c>
      <c r="D53" s="4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>
        <v>78</v>
      </c>
      <c r="AM53" s="26">
        <v>64578</v>
      </c>
      <c r="AN53" s="44">
        <f>E53+G53+M53+O53+Q53+S53+AA53+AC53+AE53+AG53+AI53+AK53+AM53+I53+K53+U53+W53</f>
        <v>64578</v>
      </c>
      <c r="AO53" s="43"/>
      <c r="AP53" s="26"/>
      <c r="AQ53" s="44"/>
      <c r="AR53" s="36"/>
      <c r="AS53" s="27"/>
      <c r="AT53" s="50"/>
      <c r="AU53" s="43"/>
      <c r="AV53" s="27"/>
      <c r="AW53" s="27"/>
      <c r="AX53" s="27"/>
      <c r="AY53" s="27"/>
      <c r="AZ53" s="44"/>
      <c r="BA53" s="36"/>
      <c r="BB53" s="44"/>
      <c r="BC53" s="188">
        <f t="shared" si="1"/>
        <v>64578</v>
      </c>
    </row>
    <row r="54" spans="1:55" s="1" customFormat="1" ht="31.5" x14ac:dyDescent="0.25">
      <c r="A54" s="285"/>
      <c r="B54" s="283"/>
      <c r="C54" s="18" t="s">
        <v>180</v>
      </c>
      <c r="D54" s="4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44">
        <f>E54+G54+M54+O54+Q54+S54+AA54+AC54+AE54+AG54+AI54+AK54+AM54+I54+K54+U54+W54</f>
        <v>0</v>
      </c>
      <c r="AO54" s="43"/>
      <c r="AP54" s="26"/>
      <c r="AQ54" s="44">
        <v>7995000</v>
      </c>
      <c r="AR54" s="36"/>
      <c r="AS54" s="27"/>
      <c r="AT54" s="50"/>
      <c r="AU54" s="43"/>
      <c r="AV54" s="27"/>
      <c r="AW54" s="27"/>
      <c r="AX54" s="27"/>
      <c r="AY54" s="27"/>
      <c r="AZ54" s="44"/>
      <c r="BA54" s="36"/>
      <c r="BB54" s="44"/>
      <c r="BC54" s="188">
        <f t="shared" si="1"/>
        <v>7995000</v>
      </c>
    </row>
    <row r="55" spans="1:55" s="1" customFormat="1" ht="16.5" thickBot="1" x14ac:dyDescent="0.3">
      <c r="A55" s="288"/>
      <c r="B55" s="284"/>
      <c r="C55" s="22" t="s">
        <v>148</v>
      </c>
      <c r="D55" s="54"/>
      <c r="E55" s="32">
        <v>757636.77000156743</v>
      </c>
      <c r="F55" s="32"/>
      <c r="G55" s="32">
        <v>516572.55476145353</v>
      </c>
      <c r="H55" s="32"/>
      <c r="I55" s="32">
        <v>64557.869379368101</v>
      </c>
      <c r="J55" s="32"/>
      <c r="K55" s="32">
        <v>89069.805857610962</v>
      </c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46">
        <f>E55+G55+M55+O55+Q55+S55+AA55+AC55+AE55+AG55+AI55+AK55+AM55+I55+K55+U55+W55</f>
        <v>1427837</v>
      </c>
      <c r="AO55" s="45"/>
      <c r="AP55" s="32"/>
      <c r="AQ55" s="46"/>
      <c r="AR55" s="37"/>
      <c r="AS55" s="33"/>
      <c r="AT55" s="51"/>
      <c r="AU55" s="45"/>
      <c r="AV55" s="33"/>
      <c r="AW55" s="33"/>
      <c r="AX55" s="33"/>
      <c r="AY55" s="33"/>
      <c r="AZ55" s="46"/>
      <c r="BA55" s="37"/>
      <c r="BB55" s="46"/>
      <c r="BC55" s="189">
        <f t="shared" si="1"/>
        <v>1427837</v>
      </c>
    </row>
    <row r="56" spans="1:55" s="1" customFormat="1" x14ac:dyDescent="0.25">
      <c r="A56" s="283">
        <v>8</v>
      </c>
      <c r="B56" s="283">
        <v>790010</v>
      </c>
      <c r="C56" s="97" t="s">
        <v>17</v>
      </c>
      <c r="D56" s="75">
        <v>26739</v>
      </c>
      <c r="E56" s="28">
        <v>40309405</v>
      </c>
      <c r="F56" s="28">
        <v>6695</v>
      </c>
      <c r="G56" s="28">
        <v>20608747</v>
      </c>
      <c r="H56" s="28">
        <v>1551</v>
      </c>
      <c r="I56" s="28">
        <v>5844131</v>
      </c>
      <c r="J56" s="28">
        <v>368</v>
      </c>
      <c r="K56" s="28">
        <v>2160999</v>
      </c>
      <c r="L56" s="28">
        <f>9+2</f>
        <v>11</v>
      </c>
      <c r="M56" s="28">
        <f>18682+4152</f>
        <v>22834</v>
      </c>
      <c r="N56" s="28"/>
      <c r="O56" s="28"/>
      <c r="P56" s="28">
        <v>27</v>
      </c>
      <c r="Q56" s="28">
        <v>53042</v>
      </c>
      <c r="R56" s="28">
        <v>46</v>
      </c>
      <c r="S56" s="28">
        <v>201118</v>
      </c>
      <c r="T56" s="28"/>
      <c r="U56" s="28"/>
      <c r="V56" s="28"/>
      <c r="W56" s="28"/>
      <c r="X56" s="28">
        <v>3932</v>
      </c>
      <c r="Y56" s="28">
        <v>1171</v>
      </c>
      <c r="Z56" s="28">
        <v>419</v>
      </c>
      <c r="AA56" s="28">
        <v>8678790</v>
      </c>
      <c r="AB56" s="28">
        <v>698</v>
      </c>
      <c r="AC56" s="28">
        <v>3687702</v>
      </c>
      <c r="AD56" s="28">
        <v>22</v>
      </c>
      <c r="AE56" s="28">
        <v>39381</v>
      </c>
      <c r="AF56" s="28">
        <v>604</v>
      </c>
      <c r="AG56" s="28">
        <v>389089</v>
      </c>
      <c r="AH56" s="28">
        <v>2649</v>
      </c>
      <c r="AI56" s="28">
        <v>9137705</v>
      </c>
      <c r="AJ56" s="28">
        <f>7102+498</f>
        <v>7600</v>
      </c>
      <c r="AK56" s="28">
        <f>9622713+674756</f>
        <v>10297469</v>
      </c>
      <c r="AL56" s="28"/>
      <c r="AM56" s="28"/>
      <c r="AN56" s="52">
        <f t="shared" ref="AN56:AN64" si="6">E56+G56+M56+O56+Q56+S56+AA56+AC56+AE56+AG56+AI56+AK56+AM56+I56+K56+U56+W56</f>
        <v>101430412</v>
      </c>
      <c r="AO56" s="47">
        <v>560</v>
      </c>
      <c r="AP56" s="28"/>
      <c r="AQ56" s="48">
        <v>22656237</v>
      </c>
      <c r="AR56" s="38">
        <f>514+1</f>
        <v>515</v>
      </c>
      <c r="AS56" s="29"/>
      <c r="AT56" s="52">
        <f>4321977+23922</f>
        <v>4345899</v>
      </c>
      <c r="AU56" s="47">
        <v>5127</v>
      </c>
      <c r="AV56" s="29">
        <v>21103</v>
      </c>
      <c r="AW56" s="29">
        <v>6178365</v>
      </c>
      <c r="AX56" s="29"/>
      <c r="AY56" s="29"/>
      <c r="AZ56" s="48"/>
      <c r="BA56" s="38"/>
      <c r="BB56" s="48"/>
      <c r="BC56" s="192">
        <f t="shared" si="1"/>
        <v>134610913</v>
      </c>
    </row>
    <row r="57" spans="1:55" s="1" customFormat="1" ht="31.5" x14ac:dyDescent="0.25">
      <c r="A57" s="283"/>
      <c r="B57" s="283"/>
      <c r="C57" s="18" t="s">
        <v>190</v>
      </c>
      <c r="D57" s="4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50">
        <f t="shared" si="6"/>
        <v>0</v>
      </c>
      <c r="AO57" s="43"/>
      <c r="AP57" s="26"/>
      <c r="AQ57" s="44"/>
      <c r="AR57" s="36"/>
      <c r="AS57" s="27"/>
      <c r="AT57" s="50"/>
      <c r="AU57" s="43"/>
      <c r="AV57" s="27"/>
      <c r="AW57" s="27"/>
      <c r="AX57" s="27"/>
      <c r="AY57" s="27"/>
      <c r="AZ57" s="44"/>
      <c r="BA57" s="36"/>
      <c r="BB57" s="44"/>
      <c r="BC57" s="188">
        <f t="shared" si="1"/>
        <v>0</v>
      </c>
    </row>
    <row r="58" spans="1:55" s="1" customFormat="1" x14ac:dyDescent="0.25">
      <c r="A58" s="283"/>
      <c r="B58" s="283"/>
      <c r="C58" s="19" t="s">
        <v>191</v>
      </c>
      <c r="D58" s="41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50">
        <f t="shared" si="6"/>
        <v>0</v>
      </c>
      <c r="AO58" s="43"/>
      <c r="AP58" s="26"/>
      <c r="AQ58" s="44"/>
      <c r="AR58" s="36"/>
      <c r="AS58" s="27"/>
      <c r="AT58" s="50"/>
      <c r="AU58" s="43"/>
      <c r="AV58" s="27"/>
      <c r="AW58" s="27"/>
      <c r="AX58" s="27"/>
      <c r="AY58" s="27"/>
      <c r="AZ58" s="44"/>
      <c r="BA58" s="36"/>
      <c r="BB58" s="44"/>
      <c r="BC58" s="192">
        <f t="shared" si="1"/>
        <v>0</v>
      </c>
    </row>
    <row r="59" spans="1:55" s="1" customFormat="1" x14ac:dyDescent="0.25">
      <c r="A59" s="283"/>
      <c r="B59" s="283"/>
      <c r="C59" s="19" t="s">
        <v>60</v>
      </c>
      <c r="D59" s="41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>
        <f>940+80</f>
        <v>1020</v>
      </c>
      <c r="AM59" s="26">
        <f>156529+13322</f>
        <v>169851</v>
      </c>
      <c r="AN59" s="50">
        <f t="shared" si="6"/>
        <v>169851</v>
      </c>
      <c r="AO59" s="43"/>
      <c r="AP59" s="26"/>
      <c r="AQ59" s="44"/>
      <c r="AR59" s="36"/>
      <c r="AS59" s="27"/>
      <c r="AT59" s="50"/>
      <c r="AU59" s="43"/>
      <c r="AV59" s="27"/>
      <c r="AW59" s="27"/>
      <c r="AX59" s="27"/>
      <c r="AY59" s="27"/>
      <c r="AZ59" s="44"/>
      <c r="BA59" s="36"/>
      <c r="BB59" s="44"/>
      <c r="BC59" s="188">
        <f t="shared" si="1"/>
        <v>169851</v>
      </c>
    </row>
    <row r="60" spans="1:55" s="1" customFormat="1" x14ac:dyDescent="0.25">
      <c r="A60" s="283"/>
      <c r="B60" s="283"/>
      <c r="C60" s="18" t="s">
        <v>74</v>
      </c>
      <c r="D60" s="41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>
        <f>86+9</f>
        <v>95</v>
      </c>
      <c r="AM60" s="26">
        <f>109315+8778</f>
        <v>118093</v>
      </c>
      <c r="AN60" s="50">
        <f t="shared" si="6"/>
        <v>118093</v>
      </c>
      <c r="AO60" s="43"/>
      <c r="AP60" s="26"/>
      <c r="AQ60" s="44"/>
      <c r="AR60" s="36"/>
      <c r="AS60" s="27"/>
      <c r="AT60" s="50"/>
      <c r="AU60" s="43"/>
      <c r="AV60" s="27"/>
      <c r="AW60" s="27"/>
      <c r="AX60" s="27"/>
      <c r="AY60" s="27"/>
      <c r="AZ60" s="44"/>
      <c r="BA60" s="36"/>
      <c r="BB60" s="44"/>
      <c r="BC60" s="188">
        <f t="shared" si="1"/>
        <v>118093</v>
      </c>
    </row>
    <row r="61" spans="1:55" s="1" customFormat="1" x14ac:dyDescent="0.25">
      <c r="A61" s="283"/>
      <c r="B61" s="283"/>
      <c r="C61" s="18" t="s">
        <v>75</v>
      </c>
      <c r="D61" s="4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>
        <v>449</v>
      </c>
      <c r="AM61" s="26">
        <v>474033</v>
      </c>
      <c r="AN61" s="50">
        <f t="shared" si="6"/>
        <v>474033</v>
      </c>
      <c r="AO61" s="43"/>
      <c r="AP61" s="26"/>
      <c r="AQ61" s="44"/>
      <c r="AR61" s="36"/>
      <c r="AS61" s="27"/>
      <c r="AT61" s="50"/>
      <c r="AU61" s="43"/>
      <c r="AV61" s="27"/>
      <c r="AW61" s="27"/>
      <c r="AX61" s="27"/>
      <c r="AY61" s="27"/>
      <c r="AZ61" s="44"/>
      <c r="BA61" s="36"/>
      <c r="BB61" s="44"/>
      <c r="BC61" s="188">
        <f t="shared" si="1"/>
        <v>474033</v>
      </c>
    </row>
    <row r="62" spans="1:55" s="1" customFormat="1" x14ac:dyDescent="0.25">
      <c r="A62" s="283"/>
      <c r="B62" s="283"/>
      <c r="C62" s="18" t="s">
        <v>56</v>
      </c>
      <c r="D62" s="4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>
        <v>17</v>
      </c>
      <c r="AM62" s="26">
        <v>8860</v>
      </c>
      <c r="AN62" s="50">
        <f t="shared" si="6"/>
        <v>8860</v>
      </c>
      <c r="AO62" s="43"/>
      <c r="AP62" s="26"/>
      <c r="AQ62" s="44"/>
      <c r="AR62" s="36"/>
      <c r="AS62" s="27"/>
      <c r="AT62" s="50"/>
      <c r="AU62" s="43"/>
      <c r="AV62" s="27"/>
      <c r="AW62" s="27"/>
      <c r="AX62" s="27"/>
      <c r="AY62" s="27"/>
      <c r="AZ62" s="44"/>
      <c r="BA62" s="36"/>
      <c r="BB62" s="44"/>
      <c r="BC62" s="188">
        <f t="shared" si="1"/>
        <v>8860</v>
      </c>
    </row>
    <row r="63" spans="1:55" s="1" customFormat="1" ht="31.5" x14ac:dyDescent="0.25">
      <c r="A63" s="283"/>
      <c r="B63" s="283"/>
      <c r="C63" s="18" t="s">
        <v>180</v>
      </c>
      <c r="D63" s="4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50">
        <f t="shared" si="6"/>
        <v>0</v>
      </c>
      <c r="AO63" s="43"/>
      <c r="AP63" s="26"/>
      <c r="AQ63" s="44">
        <v>15696900</v>
      </c>
      <c r="AR63" s="36"/>
      <c r="AS63" s="27"/>
      <c r="AT63" s="50"/>
      <c r="AU63" s="43"/>
      <c r="AV63" s="27"/>
      <c r="AW63" s="27"/>
      <c r="AX63" s="27"/>
      <c r="AY63" s="27"/>
      <c r="AZ63" s="44"/>
      <c r="BA63" s="36"/>
      <c r="BB63" s="44"/>
      <c r="BC63" s="188">
        <f t="shared" si="1"/>
        <v>15696900</v>
      </c>
    </row>
    <row r="64" spans="1:55" s="1" customFormat="1" ht="16.5" thickBot="1" x14ac:dyDescent="0.3">
      <c r="A64" s="283"/>
      <c r="B64" s="283"/>
      <c r="C64" s="21" t="s">
        <v>148</v>
      </c>
      <c r="D64" s="74"/>
      <c r="E64" s="61">
        <v>1033678</v>
      </c>
      <c r="F64" s="61"/>
      <c r="G64" s="61">
        <v>528482</v>
      </c>
      <c r="H64" s="61"/>
      <c r="I64" s="61">
        <v>149864</v>
      </c>
      <c r="J64" s="61"/>
      <c r="K64" s="61">
        <v>55416</v>
      </c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50">
        <f t="shared" si="6"/>
        <v>1767440</v>
      </c>
      <c r="AO64" s="62"/>
      <c r="AP64" s="61"/>
      <c r="AQ64" s="64"/>
      <c r="AR64" s="65"/>
      <c r="AS64" s="63"/>
      <c r="AT64" s="66"/>
      <c r="AU64" s="62"/>
      <c r="AV64" s="63"/>
      <c r="AW64" s="63"/>
      <c r="AX64" s="63"/>
      <c r="AY64" s="63"/>
      <c r="AZ64" s="64"/>
      <c r="BA64" s="65"/>
      <c r="BB64" s="64"/>
      <c r="BC64" s="190">
        <f t="shared" si="1"/>
        <v>1767440</v>
      </c>
    </row>
    <row r="65" spans="1:55" s="1" customFormat="1" x14ac:dyDescent="0.25">
      <c r="A65" s="282">
        <v>9</v>
      </c>
      <c r="B65" s="282">
        <v>790011</v>
      </c>
      <c r="C65" s="17" t="s">
        <v>18</v>
      </c>
      <c r="D65" s="73">
        <v>41577</v>
      </c>
      <c r="E65" s="30">
        <v>27805015</v>
      </c>
      <c r="F65" s="30">
        <v>7599</v>
      </c>
      <c r="G65" s="30">
        <v>15905603</v>
      </c>
      <c r="H65" s="30">
        <v>2644</v>
      </c>
      <c r="I65" s="30">
        <f>5908460-4013-4065-4013</f>
        <v>5896369</v>
      </c>
      <c r="J65" s="30">
        <v>10</v>
      </c>
      <c r="K65" s="30">
        <v>135728</v>
      </c>
      <c r="L65" s="30">
        <v>47</v>
      </c>
      <c r="M65" s="30">
        <v>97561</v>
      </c>
      <c r="N65" s="30"/>
      <c r="O65" s="30"/>
      <c r="P65" s="30">
        <f>228+13</f>
        <v>241</v>
      </c>
      <c r="Q65" s="30">
        <f>447904+25539</f>
        <v>473443</v>
      </c>
      <c r="R65" s="30">
        <v>308</v>
      </c>
      <c r="S65" s="30">
        <v>1346613</v>
      </c>
      <c r="T65" s="30">
        <f>16+42</f>
        <v>58</v>
      </c>
      <c r="U65" s="30">
        <f>31774+83407</f>
        <v>115181</v>
      </c>
      <c r="V65" s="30">
        <f>171+15</f>
        <v>186</v>
      </c>
      <c r="W65" s="30">
        <f>318733+27959</f>
        <v>346692</v>
      </c>
      <c r="X65" s="30">
        <v>4279</v>
      </c>
      <c r="Y65" s="30">
        <v>1129</v>
      </c>
      <c r="Z65" s="30">
        <v>75</v>
      </c>
      <c r="AA65" s="30">
        <v>13516426</v>
      </c>
      <c r="AB65" s="30">
        <f>1460+50</f>
        <v>1510</v>
      </c>
      <c r="AC65" s="30">
        <f>6823008+234761</f>
        <v>7057769</v>
      </c>
      <c r="AD65" s="30">
        <f>626+18</f>
        <v>644</v>
      </c>
      <c r="AE65" s="30">
        <f>1054178+30312</f>
        <v>1084490</v>
      </c>
      <c r="AF65" s="30">
        <v>630</v>
      </c>
      <c r="AG65" s="30">
        <v>410445</v>
      </c>
      <c r="AH65" s="30">
        <f>3675+48</f>
        <v>3723</v>
      </c>
      <c r="AI65" s="30">
        <f>11086046+204030</f>
        <v>11290076</v>
      </c>
      <c r="AJ65" s="30">
        <f>4507+100</f>
        <v>4607</v>
      </c>
      <c r="AK65" s="30">
        <f>6106670+135493</f>
        <v>6242163</v>
      </c>
      <c r="AL65" s="30"/>
      <c r="AM65" s="30"/>
      <c r="AN65" s="40">
        <f>E65+G65+M65+O65+Q65+S65+AA65+AC65+AE65+AG65+AI65+AK65+AM65+I65+K65+U65+W65</f>
        <v>91723574</v>
      </c>
      <c r="AO65" s="39">
        <f>961+1</f>
        <v>962</v>
      </c>
      <c r="AP65" s="30"/>
      <c r="AQ65" s="40">
        <f>39034404+14919</f>
        <v>39049323</v>
      </c>
      <c r="AR65" s="35">
        <v>401</v>
      </c>
      <c r="AS65" s="31"/>
      <c r="AT65" s="49">
        <v>8383444</v>
      </c>
      <c r="AU65" s="39">
        <f>5745+134</f>
        <v>5879</v>
      </c>
      <c r="AV65" s="31">
        <f>19016+152993</f>
        <v>172009</v>
      </c>
      <c r="AW65" s="31">
        <f>5567367+152993</f>
        <v>5720360</v>
      </c>
      <c r="AX65" s="31"/>
      <c r="AY65" s="31"/>
      <c r="AZ65" s="40"/>
      <c r="BA65" s="35"/>
      <c r="BB65" s="40"/>
      <c r="BC65" s="186">
        <f t="shared" si="1"/>
        <v>144876701</v>
      </c>
    </row>
    <row r="66" spans="1:55" s="1" customFormat="1" ht="31.5" x14ac:dyDescent="0.25">
      <c r="A66" s="283"/>
      <c r="B66" s="283"/>
      <c r="C66" s="18" t="s">
        <v>190</v>
      </c>
      <c r="D66" s="4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44">
        <f t="shared" ref="AN66:AN76" si="7">E66+G66+M66+O66+Q66+S66+AA66+AC66+AE66+AG66+AI66+AK66+AM66+I66+K66+U66+W66</f>
        <v>0</v>
      </c>
      <c r="AO66" s="41">
        <v>1</v>
      </c>
      <c r="AP66" s="26"/>
      <c r="AQ66" s="42">
        <v>14919</v>
      </c>
      <c r="AR66" s="36"/>
      <c r="AS66" s="27"/>
      <c r="AT66" s="50"/>
      <c r="AU66" s="43"/>
      <c r="AV66" s="27"/>
      <c r="AW66" s="27"/>
      <c r="AX66" s="27"/>
      <c r="AY66" s="27"/>
      <c r="AZ66" s="44"/>
      <c r="BA66" s="36"/>
      <c r="BB66" s="44"/>
      <c r="BC66" s="194">
        <f t="shared" si="1"/>
        <v>14919</v>
      </c>
    </row>
    <row r="67" spans="1:55" s="1" customFormat="1" x14ac:dyDescent="0.25">
      <c r="A67" s="283"/>
      <c r="B67" s="283"/>
      <c r="C67" s="19" t="s">
        <v>191</v>
      </c>
      <c r="D67" s="4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44">
        <f t="shared" si="7"/>
        <v>0</v>
      </c>
      <c r="AO67" s="41">
        <v>1</v>
      </c>
      <c r="AP67" s="26"/>
      <c r="AQ67" s="42">
        <v>14919</v>
      </c>
      <c r="AR67" s="36"/>
      <c r="AS67" s="27"/>
      <c r="AT67" s="50"/>
      <c r="AU67" s="43"/>
      <c r="AV67" s="27"/>
      <c r="AW67" s="27"/>
      <c r="AX67" s="27"/>
      <c r="AY67" s="27"/>
      <c r="AZ67" s="44"/>
      <c r="BA67" s="36"/>
      <c r="BB67" s="44"/>
      <c r="BC67" s="194">
        <f t="shared" si="1"/>
        <v>14919</v>
      </c>
    </row>
    <row r="68" spans="1:55" s="1" customFormat="1" x14ac:dyDescent="0.25">
      <c r="A68" s="283"/>
      <c r="B68" s="283"/>
      <c r="C68" s="18" t="s">
        <v>87</v>
      </c>
      <c r="D68" s="4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>
        <v>954</v>
      </c>
      <c r="AM68" s="26">
        <v>121578</v>
      </c>
      <c r="AN68" s="44">
        <f t="shared" si="7"/>
        <v>121578</v>
      </c>
      <c r="AO68" s="43"/>
      <c r="AP68" s="26"/>
      <c r="AQ68" s="44"/>
      <c r="AR68" s="36"/>
      <c r="AS68" s="27"/>
      <c r="AT68" s="50"/>
      <c r="AU68" s="43"/>
      <c r="AV68" s="27"/>
      <c r="AW68" s="27"/>
      <c r="AX68" s="27"/>
      <c r="AY68" s="27"/>
      <c r="AZ68" s="44"/>
      <c r="BA68" s="36"/>
      <c r="BB68" s="44"/>
      <c r="BC68" s="188">
        <f t="shared" si="1"/>
        <v>121578</v>
      </c>
    </row>
    <row r="69" spans="1:55" s="1" customFormat="1" ht="16.5" customHeight="1" x14ac:dyDescent="0.25">
      <c r="A69" s="283"/>
      <c r="B69" s="283"/>
      <c r="C69" s="19" t="s">
        <v>60</v>
      </c>
      <c r="D69" s="41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>
        <f>3399+21</f>
        <v>3420</v>
      </c>
      <c r="AM69" s="26">
        <f>318217+2117</f>
        <v>320334</v>
      </c>
      <c r="AN69" s="44">
        <f t="shared" si="7"/>
        <v>320334</v>
      </c>
      <c r="AO69" s="43"/>
      <c r="AP69" s="26"/>
      <c r="AQ69" s="44"/>
      <c r="AR69" s="36"/>
      <c r="AS69" s="27"/>
      <c r="AT69" s="50"/>
      <c r="AU69" s="43"/>
      <c r="AV69" s="27"/>
      <c r="AW69" s="27"/>
      <c r="AX69" s="27"/>
      <c r="AY69" s="27"/>
      <c r="AZ69" s="44"/>
      <c r="BA69" s="36"/>
      <c r="BB69" s="44"/>
      <c r="BC69" s="188">
        <f t="shared" si="1"/>
        <v>320334</v>
      </c>
    </row>
    <row r="70" spans="1:55" s="1" customFormat="1" x14ac:dyDescent="0.25">
      <c r="A70" s="283"/>
      <c r="B70" s="283"/>
      <c r="C70" s="18" t="s">
        <v>74</v>
      </c>
      <c r="D70" s="41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44">
        <f t="shared" si="7"/>
        <v>0</v>
      </c>
      <c r="AO70" s="43"/>
      <c r="AP70" s="26"/>
      <c r="AQ70" s="44"/>
      <c r="AR70" s="36"/>
      <c r="AS70" s="27"/>
      <c r="AT70" s="50"/>
      <c r="AU70" s="43"/>
      <c r="AV70" s="27"/>
      <c r="AW70" s="27"/>
      <c r="AX70" s="27"/>
      <c r="AY70" s="27"/>
      <c r="AZ70" s="44"/>
      <c r="BA70" s="36"/>
      <c r="BB70" s="44"/>
      <c r="BC70" s="188">
        <f t="shared" si="1"/>
        <v>0</v>
      </c>
    </row>
    <row r="71" spans="1:55" s="1" customFormat="1" x14ac:dyDescent="0.25">
      <c r="A71" s="283"/>
      <c r="B71" s="283"/>
      <c r="C71" s="18" t="s">
        <v>75</v>
      </c>
      <c r="D71" s="41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>
        <v>553</v>
      </c>
      <c r="AM71" s="26">
        <v>655976</v>
      </c>
      <c r="AN71" s="44">
        <f t="shared" si="7"/>
        <v>655976</v>
      </c>
      <c r="AO71" s="43"/>
      <c r="AP71" s="26"/>
      <c r="AQ71" s="44"/>
      <c r="AR71" s="36"/>
      <c r="AS71" s="27"/>
      <c r="AT71" s="50"/>
      <c r="AU71" s="43"/>
      <c r="AV71" s="27"/>
      <c r="AW71" s="27"/>
      <c r="AX71" s="27"/>
      <c r="AY71" s="27"/>
      <c r="AZ71" s="44"/>
      <c r="BA71" s="36"/>
      <c r="BB71" s="44"/>
      <c r="BC71" s="188">
        <f t="shared" si="1"/>
        <v>655976</v>
      </c>
    </row>
    <row r="72" spans="1:55" s="1" customFormat="1" x14ac:dyDescent="0.25">
      <c r="A72" s="283"/>
      <c r="B72" s="283"/>
      <c r="C72" s="18" t="s">
        <v>56</v>
      </c>
      <c r="D72" s="41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>
        <v>52</v>
      </c>
      <c r="AM72" s="26">
        <v>35985</v>
      </c>
      <c r="AN72" s="44">
        <f t="shared" si="7"/>
        <v>35985</v>
      </c>
      <c r="AO72" s="43"/>
      <c r="AP72" s="26"/>
      <c r="AQ72" s="44"/>
      <c r="AR72" s="36"/>
      <c r="AS72" s="27"/>
      <c r="AT72" s="50"/>
      <c r="AU72" s="43"/>
      <c r="AV72" s="27"/>
      <c r="AW72" s="27"/>
      <c r="AX72" s="27"/>
      <c r="AY72" s="27"/>
      <c r="AZ72" s="44"/>
      <c r="BA72" s="36"/>
      <c r="BB72" s="44"/>
      <c r="BC72" s="188">
        <f t="shared" si="1"/>
        <v>35985</v>
      </c>
    </row>
    <row r="73" spans="1:55" s="1" customFormat="1" x14ac:dyDescent="0.25">
      <c r="A73" s="283"/>
      <c r="B73" s="283"/>
      <c r="C73" s="18" t="s">
        <v>111</v>
      </c>
      <c r="D73" s="41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>
        <v>26</v>
      </c>
      <c r="AM73" s="26">
        <v>65430</v>
      </c>
      <c r="AN73" s="44">
        <f t="shared" si="7"/>
        <v>65430</v>
      </c>
      <c r="AO73" s="43"/>
      <c r="AP73" s="26"/>
      <c r="AQ73" s="44"/>
      <c r="AR73" s="36"/>
      <c r="AS73" s="27"/>
      <c r="AT73" s="50"/>
      <c r="AU73" s="43"/>
      <c r="AV73" s="27"/>
      <c r="AW73" s="27"/>
      <c r="AX73" s="27"/>
      <c r="AY73" s="27"/>
      <c r="AZ73" s="44"/>
      <c r="BA73" s="36"/>
      <c r="BB73" s="44"/>
      <c r="BC73" s="188">
        <f t="shared" si="1"/>
        <v>65430</v>
      </c>
    </row>
    <row r="74" spans="1:55" s="1" customFormat="1" x14ac:dyDescent="0.25">
      <c r="A74" s="283"/>
      <c r="B74" s="283"/>
      <c r="C74" s="18" t="s">
        <v>112</v>
      </c>
      <c r="D74" s="41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>
        <v>100</v>
      </c>
      <c r="AM74" s="26">
        <v>125828</v>
      </c>
      <c r="AN74" s="44">
        <f t="shared" si="7"/>
        <v>125828</v>
      </c>
      <c r="AO74" s="43"/>
      <c r="AP74" s="26"/>
      <c r="AQ74" s="44"/>
      <c r="AR74" s="36"/>
      <c r="AS74" s="27"/>
      <c r="AT74" s="50"/>
      <c r="AU74" s="43"/>
      <c r="AV74" s="27"/>
      <c r="AW74" s="27"/>
      <c r="AX74" s="27"/>
      <c r="AY74" s="27"/>
      <c r="AZ74" s="44"/>
      <c r="BA74" s="36"/>
      <c r="BB74" s="44"/>
      <c r="BC74" s="188">
        <f t="shared" si="1"/>
        <v>125828</v>
      </c>
    </row>
    <row r="75" spans="1:55" s="1" customFormat="1" x14ac:dyDescent="0.25">
      <c r="A75" s="283"/>
      <c r="B75" s="283"/>
      <c r="C75" s="21" t="s">
        <v>183</v>
      </c>
      <c r="D75" s="41">
        <v>160</v>
      </c>
      <c r="E75" s="26">
        <v>93642</v>
      </c>
      <c r="F75" s="26">
        <v>4</v>
      </c>
      <c r="G75" s="26">
        <v>4997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>
        <v>249</v>
      </c>
      <c r="AM75" s="26">
        <v>233147</v>
      </c>
      <c r="AN75" s="44">
        <f t="shared" si="7"/>
        <v>331786</v>
      </c>
      <c r="AO75" s="43"/>
      <c r="AP75" s="26"/>
      <c r="AQ75" s="44"/>
      <c r="AR75" s="36"/>
      <c r="AS75" s="27"/>
      <c r="AT75" s="50"/>
      <c r="AU75" s="43"/>
      <c r="AV75" s="27"/>
      <c r="AW75" s="27"/>
      <c r="AX75" s="27"/>
      <c r="AY75" s="27"/>
      <c r="AZ75" s="44"/>
      <c r="BA75" s="36"/>
      <c r="BB75" s="44"/>
      <c r="BC75" s="190">
        <f t="shared" si="1"/>
        <v>331786</v>
      </c>
    </row>
    <row r="76" spans="1:55" s="1" customFormat="1" ht="16.5" thickBot="1" x14ac:dyDescent="0.3">
      <c r="A76" s="284"/>
      <c r="B76" s="284"/>
      <c r="C76" s="22" t="s">
        <v>148</v>
      </c>
      <c r="D76" s="54"/>
      <c r="E76" s="32">
        <v>714987</v>
      </c>
      <c r="F76" s="32"/>
      <c r="G76" s="32">
        <v>409002</v>
      </c>
      <c r="H76" s="32"/>
      <c r="I76" s="32">
        <v>1208</v>
      </c>
      <c r="J76" s="32"/>
      <c r="K76" s="32">
        <v>3490</v>
      </c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46">
        <f t="shared" si="7"/>
        <v>1128687</v>
      </c>
      <c r="AO76" s="45"/>
      <c r="AP76" s="32"/>
      <c r="AQ76" s="46"/>
      <c r="AR76" s="37"/>
      <c r="AS76" s="33"/>
      <c r="AT76" s="51"/>
      <c r="AU76" s="45"/>
      <c r="AV76" s="33"/>
      <c r="AW76" s="33"/>
      <c r="AX76" s="33"/>
      <c r="AY76" s="33"/>
      <c r="AZ76" s="46"/>
      <c r="BA76" s="37"/>
      <c r="BB76" s="46"/>
      <c r="BC76" s="189">
        <f t="shared" si="1"/>
        <v>1128687</v>
      </c>
    </row>
    <row r="77" spans="1:55" s="1" customFormat="1" x14ac:dyDescent="0.25">
      <c r="A77" s="283">
        <v>10</v>
      </c>
      <c r="B77" s="283">
        <v>790012</v>
      </c>
      <c r="C77" s="198" t="s">
        <v>19</v>
      </c>
      <c r="D77" s="75">
        <v>46050</v>
      </c>
      <c r="E77" s="28">
        <v>18118767</v>
      </c>
      <c r="F77" s="28">
        <v>5829</v>
      </c>
      <c r="G77" s="28">
        <v>6400432</v>
      </c>
      <c r="H77" s="28">
        <v>5176</v>
      </c>
      <c r="I77" s="28">
        <v>3358728</v>
      </c>
      <c r="J77" s="28">
        <v>5</v>
      </c>
      <c r="K77" s="28">
        <v>24403</v>
      </c>
      <c r="L77" s="28">
        <f>53+12</f>
        <v>65</v>
      </c>
      <c r="M77" s="28">
        <f>110016+24910</f>
        <v>134926</v>
      </c>
      <c r="N77" s="28"/>
      <c r="O77" s="28"/>
      <c r="P77" s="28">
        <v>120</v>
      </c>
      <c r="Q77" s="28">
        <v>235739</v>
      </c>
      <c r="R77" s="28">
        <f>261+20</f>
        <v>281</v>
      </c>
      <c r="S77" s="28">
        <f>1141124+87443</f>
        <v>1228567</v>
      </c>
      <c r="T77" s="28">
        <v>869</v>
      </c>
      <c r="U77" s="28">
        <v>1725713</v>
      </c>
      <c r="V77" s="28"/>
      <c r="W77" s="28"/>
      <c r="X77" s="28">
        <v>3203</v>
      </c>
      <c r="Y77" s="28">
        <v>1557</v>
      </c>
      <c r="Z77" s="28">
        <v>283</v>
      </c>
      <c r="AA77" s="28">
        <v>7257690</v>
      </c>
      <c r="AB77" s="28">
        <f>1768+14</f>
        <v>1782</v>
      </c>
      <c r="AC77" s="28">
        <f>9433210+68558</f>
        <v>9501768</v>
      </c>
      <c r="AD77" s="28">
        <f>106+1</f>
        <v>107</v>
      </c>
      <c r="AE77" s="28">
        <f>178503+1684</f>
        <v>180187</v>
      </c>
      <c r="AF77" s="28">
        <v>1235</v>
      </c>
      <c r="AG77" s="28">
        <v>1124314</v>
      </c>
      <c r="AH77" s="28">
        <v>2964</v>
      </c>
      <c r="AI77" s="28">
        <v>9229310</v>
      </c>
      <c r="AJ77" s="28">
        <f>5229+53</f>
        <v>5282</v>
      </c>
      <c r="AK77" s="28">
        <f>7084929+71812</f>
        <v>7156741</v>
      </c>
      <c r="AL77" s="28"/>
      <c r="AM77" s="28"/>
      <c r="AN77" s="52">
        <f t="shared" ref="AN77:AN88" si="8">E77+G77+M77+O77+Q77+S77+AA77+AC77+AE77+AG77+AI77+AK77+AM77+I77+K77+U77+W77</f>
        <v>65677285</v>
      </c>
      <c r="AO77" s="47">
        <v>1178</v>
      </c>
      <c r="AP77" s="28"/>
      <c r="AQ77" s="48">
        <v>49527833</v>
      </c>
      <c r="AR77" s="38">
        <v>946</v>
      </c>
      <c r="AS77" s="29"/>
      <c r="AT77" s="52">
        <v>18997995</v>
      </c>
      <c r="AU77" s="47">
        <v>7769</v>
      </c>
      <c r="AV77" s="29">
        <v>38426</v>
      </c>
      <c r="AW77" s="29">
        <v>11250204</v>
      </c>
      <c r="AX77" s="29"/>
      <c r="AY77" s="29"/>
      <c r="AZ77" s="48"/>
      <c r="BA77" s="38"/>
      <c r="BB77" s="48"/>
      <c r="BC77" s="192">
        <f t="shared" si="1"/>
        <v>145453317</v>
      </c>
    </row>
    <row r="78" spans="1:55" s="1" customFormat="1" ht="31.5" x14ac:dyDescent="0.25">
      <c r="A78" s="283"/>
      <c r="B78" s="283"/>
      <c r="C78" s="18" t="s">
        <v>190</v>
      </c>
      <c r="D78" s="41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50">
        <f t="shared" si="8"/>
        <v>0</v>
      </c>
      <c r="AO78" s="41">
        <v>5</v>
      </c>
      <c r="AP78" s="26"/>
      <c r="AQ78" s="42">
        <v>74593</v>
      </c>
      <c r="AR78" s="36"/>
      <c r="AS78" s="27"/>
      <c r="AT78" s="50"/>
      <c r="AU78" s="43"/>
      <c r="AV78" s="27"/>
      <c r="AW78" s="27"/>
      <c r="AX78" s="27"/>
      <c r="AY78" s="27"/>
      <c r="AZ78" s="44"/>
      <c r="BA78" s="36"/>
      <c r="BB78" s="44"/>
      <c r="BC78" s="187">
        <f t="shared" si="1"/>
        <v>74593</v>
      </c>
    </row>
    <row r="79" spans="1:55" s="1" customFormat="1" x14ac:dyDescent="0.25">
      <c r="A79" s="283"/>
      <c r="B79" s="283"/>
      <c r="C79" s="19" t="s">
        <v>191</v>
      </c>
      <c r="D79" s="41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50">
        <f t="shared" si="8"/>
        <v>0</v>
      </c>
      <c r="AO79" s="43"/>
      <c r="AP79" s="26"/>
      <c r="AQ79" s="44"/>
      <c r="AR79" s="36"/>
      <c r="AS79" s="27"/>
      <c r="AT79" s="50"/>
      <c r="AU79" s="43"/>
      <c r="AV79" s="27"/>
      <c r="AW79" s="27"/>
      <c r="AX79" s="27"/>
      <c r="AY79" s="27"/>
      <c r="AZ79" s="44"/>
      <c r="BA79" s="36"/>
      <c r="BB79" s="44"/>
      <c r="BC79" s="194">
        <f t="shared" si="1"/>
        <v>0</v>
      </c>
    </row>
    <row r="80" spans="1:55" s="1" customFormat="1" x14ac:dyDescent="0.25">
      <c r="A80" s="283"/>
      <c r="B80" s="283"/>
      <c r="C80" s="18" t="s">
        <v>87</v>
      </c>
      <c r="D80" s="41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>
        <v>4275</v>
      </c>
      <c r="AM80" s="26">
        <v>544806</v>
      </c>
      <c r="AN80" s="50">
        <f t="shared" si="8"/>
        <v>544806</v>
      </c>
      <c r="AO80" s="43"/>
      <c r="AP80" s="26"/>
      <c r="AQ80" s="44"/>
      <c r="AR80" s="36"/>
      <c r="AS80" s="27"/>
      <c r="AT80" s="50"/>
      <c r="AU80" s="43"/>
      <c r="AV80" s="27"/>
      <c r="AW80" s="27"/>
      <c r="AX80" s="27"/>
      <c r="AY80" s="27"/>
      <c r="AZ80" s="44"/>
      <c r="BA80" s="36"/>
      <c r="BB80" s="44"/>
      <c r="BC80" s="188">
        <f t="shared" si="1"/>
        <v>544806</v>
      </c>
    </row>
    <row r="81" spans="1:55" s="1" customFormat="1" ht="31.5" x14ac:dyDescent="0.25">
      <c r="A81" s="283"/>
      <c r="B81" s="283"/>
      <c r="C81" s="18" t="s">
        <v>192</v>
      </c>
      <c r="D81" s="41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50">
        <f t="shared" si="8"/>
        <v>0</v>
      </c>
      <c r="AO81" s="43"/>
      <c r="AP81" s="26"/>
      <c r="AQ81" s="44"/>
      <c r="AR81" s="36"/>
      <c r="AS81" s="27"/>
      <c r="AT81" s="50"/>
      <c r="AU81" s="43"/>
      <c r="AV81" s="27"/>
      <c r="AW81" s="27"/>
      <c r="AX81" s="27"/>
      <c r="AY81" s="27"/>
      <c r="AZ81" s="44"/>
      <c r="BA81" s="36"/>
      <c r="BB81" s="44"/>
      <c r="BC81" s="188">
        <f t="shared" si="1"/>
        <v>0</v>
      </c>
    </row>
    <row r="82" spans="1:55" s="1" customFormat="1" x14ac:dyDescent="0.25">
      <c r="A82" s="283"/>
      <c r="B82" s="283"/>
      <c r="C82" s="253" t="s">
        <v>60</v>
      </c>
      <c r="D82" s="41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>
        <v>4998</v>
      </c>
      <c r="AM82" s="26">
        <v>473588</v>
      </c>
      <c r="AN82" s="50">
        <f t="shared" si="8"/>
        <v>473588</v>
      </c>
      <c r="AO82" s="43"/>
      <c r="AP82" s="26"/>
      <c r="AQ82" s="44"/>
      <c r="AR82" s="36"/>
      <c r="AS82" s="27"/>
      <c r="AT82" s="50"/>
      <c r="AU82" s="43"/>
      <c r="AV82" s="27"/>
      <c r="AW82" s="27"/>
      <c r="AX82" s="27"/>
      <c r="AY82" s="27"/>
      <c r="AZ82" s="44"/>
      <c r="BA82" s="36"/>
      <c r="BB82" s="44"/>
      <c r="BC82" s="188">
        <f t="shared" si="1"/>
        <v>473588</v>
      </c>
    </row>
    <row r="83" spans="1:55" s="1" customFormat="1" x14ac:dyDescent="0.25">
      <c r="A83" s="283"/>
      <c r="B83" s="283"/>
      <c r="C83" s="18" t="s">
        <v>74</v>
      </c>
      <c r="D83" s="41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>
        <f>314+2</f>
        <v>316</v>
      </c>
      <c r="AM83" s="26">
        <f>462124+2944</f>
        <v>465068</v>
      </c>
      <c r="AN83" s="50">
        <f t="shared" si="8"/>
        <v>465068</v>
      </c>
      <c r="AO83" s="43"/>
      <c r="AP83" s="26"/>
      <c r="AQ83" s="44"/>
      <c r="AR83" s="36"/>
      <c r="AS83" s="27"/>
      <c r="AT83" s="50"/>
      <c r="AU83" s="43"/>
      <c r="AV83" s="27"/>
      <c r="AW83" s="27"/>
      <c r="AX83" s="27"/>
      <c r="AY83" s="27"/>
      <c r="AZ83" s="44"/>
      <c r="BA83" s="36"/>
      <c r="BB83" s="44"/>
      <c r="BC83" s="188">
        <f t="shared" si="1"/>
        <v>465068</v>
      </c>
    </row>
    <row r="84" spans="1:55" s="1" customFormat="1" x14ac:dyDescent="0.25">
      <c r="A84" s="283"/>
      <c r="B84" s="283"/>
      <c r="C84" s="18" t="s">
        <v>185</v>
      </c>
      <c r="D84" s="41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>
        <f>275+23</f>
        <v>298</v>
      </c>
      <c r="AM84" s="26">
        <f>218468+19390</f>
        <v>237858</v>
      </c>
      <c r="AN84" s="50">
        <f t="shared" si="8"/>
        <v>237858</v>
      </c>
      <c r="AO84" s="43"/>
      <c r="AP84" s="26"/>
      <c r="AQ84" s="44"/>
      <c r="AR84" s="36"/>
      <c r="AS84" s="27"/>
      <c r="AT84" s="50"/>
      <c r="AU84" s="43"/>
      <c r="AV84" s="27"/>
      <c r="AW84" s="27"/>
      <c r="AX84" s="27"/>
      <c r="AY84" s="27"/>
      <c r="AZ84" s="44"/>
      <c r="BA84" s="36"/>
      <c r="BB84" s="44"/>
      <c r="BC84" s="188">
        <f t="shared" si="1"/>
        <v>237858</v>
      </c>
    </row>
    <row r="85" spans="1:55" s="1" customFormat="1" x14ac:dyDescent="0.25">
      <c r="A85" s="283"/>
      <c r="B85" s="283"/>
      <c r="C85" s="18" t="s">
        <v>75</v>
      </c>
      <c r="D85" s="41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>
        <f>263+23</f>
        <v>286</v>
      </c>
      <c r="AM85" s="26">
        <f>252916+21536</f>
        <v>274452</v>
      </c>
      <c r="AN85" s="50">
        <f t="shared" si="8"/>
        <v>274452</v>
      </c>
      <c r="AO85" s="43"/>
      <c r="AP85" s="26"/>
      <c r="AQ85" s="44"/>
      <c r="AR85" s="36"/>
      <c r="AS85" s="27"/>
      <c r="AT85" s="50"/>
      <c r="AU85" s="43"/>
      <c r="AV85" s="27"/>
      <c r="AW85" s="27"/>
      <c r="AX85" s="27"/>
      <c r="AY85" s="27"/>
      <c r="AZ85" s="44"/>
      <c r="BA85" s="36"/>
      <c r="BB85" s="44"/>
      <c r="BC85" s="188">
        <f t="shared" si="1"/>
        <v>274452</v>
      </c>
    </row>
    <row r="86" spans="1:55" s="1" customFormat="1" x14ac:dyDescent="0.25">
      <c r="A86" s="283"/>
      <c r="B86" s="283"/>
      <c r="C86" s="18" t="s">
        <v>56</v>
      </c>
      <c r="D86" s="41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>
        <v>28</v>
      </c>
      <c r="AM86" s="26">
        <v>14760</v>
      </c>
      <c r="AN86" s="50">
        <f t="shared" si="8"/>
        <v>14760</v>
      </c>
      <c r="AO86" s="43"/>
      <c r="AP86" s="26"/>
      <c r="AQ86" s="44"/>
      <c r="AR86" s="36"/>
      <c r="AS86" s="27"/>
      <c r="AT86" s="50"/>
      <c r="AU86" s="43"/>
      <c r="AV86" s="27"/>
      <c r="AW86" s="27"/>
      <c r="AX86" s="27"/>
      <c r="AY86" s="27"/>
      <c r="AZ86" s="44"/>
      <c r="BA86" s="36"/>
      <c r="BB86" s="44"/>
      <c r="BC86" s="188">
        <f t="shared" si="1"/>
        <v>14760</v>
      </c>
    </row>
    <row r="87" spans="1:55" s="1" customFormat="1" x14ac:dyDescent="0.25">
      <c r="A87" s="283"/>
      <c r="B87" s="283"/>
      <c r="C87" s="18" t="s">
        <v>179</v>
      </c>
      <c r="D87" s="41">
        <f>19+92</f>
        <v>111</v>
      </c>
      <c r="E87" s="26">
        <f>63562+307774</f>
        <v>371336</v>
      </c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50">
        <f t="shared" si="8"/>
        <v>371336</v>
      </c>
      <c r="AO87" s="43"/>
      <c r="AP87" s="26"/>
      <c r="AQ87" s="44"/>
      <c r="AR87" s="36"/>
      <c r="AS87" s="27"/>
      <c r="AT87" s="50"/>
      <c r="AU87" s="43"/>
      <c r="AV87" s="27"/>
      <c r="AW87" s="27"/>
      <c r="AX87" s="27"/>
      <c r="AY87" s="27"/>
      <c r="AZ87" s="44"/>
      <c r="BA87" s="36"/>
      <c r="BB87" s="44"/>
      <c r="BC87" s="188">
        <f t="shared" si="1"/>
        <v>371336</v>
      </c>
    </row>
    <row r="88" spans="1:55" s="1" customFormat="1" ht="16.5" thickBot="1" x14ac:dyDescent="0.3">
      <c r="A88" s="283"/>
      <c r="B88" s="283"/>
      <c r="C88" s="21" t="s">
        <v>148</v>
      </c>
      <c r="D88" s="74"/>
      <c r="E88" s="61">
        <v>973272.52055663441</v>
      </c>
      <c r="F88" s="61"/>
      <c r="G88" s="61">
        <v>343807.31234588654</v>
      </c>
      <c r="H88" s="61"/>
      <c r="I88" s="61">
        <v>180418.32904105142</v>
      </c>
      <c r="J88" s="61"/>
      <c r="K88" s="61">
        <v>1310.8380564275456</v>
      </c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50">
        <f t="shared" si="8"/>
        <v>1498809</v>
      </c>
      <c r="AO88" s="62"/>
      <c r="AP88" s="61"/>
      <c r="AQ88" s="64"/>
      <c r="AR88" s="65"/>
      <c r="AS88" s="63"/>
      <c r="AT88" s="66"/>
      <c r="AU88" s="62"/>
      <c r="AV88" s="63"/>
      <c r="AW88" s="63"/>
      <c r="AX88" s="63"/>
      <c r="AY88" s="63"/>
      <c r="AZ88" s="64"/>
      <c r="BA88" s="65"/>
      <c r="BB88" s="64"/>
      <c r="BC88" s="190">
        <f t="shared" si="1"/>
        <v>1498809</v>
      </c>
    </row>
    <row r="89" spans="1:55" s="1" customFormat="1" x14ac:dyDescent="0.25">
      <c r="A89" s="270">
        <v>11</v>
      </c>
      <c r="B89" s="270">
        <v>790013</v>
      </c>
      <c r="C89" s="17" t="s">
        <v>22</v>
      </c>
      <c r="D89" s="73">
        <v>42744</v>
      </c>
      <c r="E89" s="30">
        <v>34063997</v>
      </c>
      <c r="F89" s="73">
        <f>3337+1</f>
        <v>3338</v>
      </c>
      <c r="G89" s="30">
        <f>5183331+2028+36568</f>
        <v>5221927</v>
      </c>
      <c r="H89" s="30">
        <v>2904</v>
      </c>
      <c r="I89" s="30">
        <f>4592992-10585-36113-157720-36113</f>
        <v>4352461</v>
      </c>
      <c r="J89" s="30">
        <v>125</v>
      </c>
      <c r="K89" s="30">
        <f>714289</f>
        <v>714289</v>
      </c>
      <c r="L89" s="30">
        <v>20</v>
      </c>
      <c r="M89" s="30">
        <v>41516</v>
      </c>
      <c r="N89" s="30"/>
      <c r="O89" s="30"/>
      <c r="P89" s="30">
        <v>166</v>
      </c>
      <c r="Q89" s="30">
        <v>326106</v>
      </c>
      <c r="R89" s="30">
        <v>218</v>
      </c>
      <c r="S89" s="30">
        <v>953123</v>
      </c>
      <c r="T89" s="30">
        <f>218+45</f>
        <v>263</v>
      </c>
      <c r="U89" s="30">
        <f>432918+89364</f>
        <v>522282</v>
      </c>
      <c r="V89" s="30">
        <f>84+17</f>
        <v>101</v>
      </c>
      <c r="W89" s="30">
        <f>156955+31687</f>
        <v>188642</v>
      </c>
      <c r="X89" s="30">
        <v>4493</v>
      </c>
      <c r="Y89" s="30">
        <v>505</v>
      </c>
      <c r="Z89" s="30">
        <v>0</v>
      </c>
      <c r="AA89" s="30">
        <v>30439920</v>
      </c>
      <c r="AB89" s="30">
        <f>1365-4+96</f>
        <v>1457</v>
      </c>
      <c r="AC89" s="30">
        <f>7223326-55716+428323</f>
        <v>7595933</v>
      </c>
      <c r="AD89" s="30">
        <f>991+111</f>
        <v>1102</v>
      </c>
      <c r="AE89" s="30">
        <f>104386+2455768+275878</f>
        <v>2836032</v>
      </c>
      <c r="AF89" s="30">
        <f>416+90</f>
        <v>506</v>
      </c>
      <c r="AG89" s="30">
        <f>424723+688472+194711+49508</f>
        <v>1357414</v>
      </c>
      <c r="AH89" s="30">
        <f>2182+53</f>
        <v>2235</v>
      </c>
      <c r="AI89" s="30">
        <f>7339521+119220</f>
        <v>7458741</v>
      </c>
      <c r="AJ89" s="30">
        <f>7795+138</f>
        <v>7933</v>
      </c>
      <c r="AK89" s="30">
        <f>10561680+186981</f>
        <v>10748661</v>
      </c>
      <c r="AL89" s="30"/>
      <c r="AM89" s="30"/>
      <c r="AN89" s="40">
        <f t="shared" ref="AN89:AN96" si="9">E89+G89+M89+O89+Q89+S89+AA89+AC89+AE89+AG89+AI89+AK89+AM89+I89+K89+U89+W89</f>
        <v>106821044</v>
      </c>
      <c r="AO89" s="39">
        <f>767-2</f>
        <v>765</v>
      </c>
      <c r="AP89" s="30"/>
      <c r="AQ89" s="40">
        <f>40404234-95487</f>
        <v>40308747</v>
      </c>
      <c r="AR89" s="35">
        <v>629</v>
      </c>
      <c r="AS89" s="31"/>
      <c r="AT89" s="49">
        <v>13242780</v>
      </c>
      <c r="AU89" s="39">
        <f>2658+34</f>
        <v>2692</v>
      </c>
      <c r="AV89" s="31">
        <f>8493+206</f>
        <v>8699</v>
      </c>
      <c r="AW89" s="31">
        <f>2486454+60038</f>
        <v>2546492</v>
      </c>
      <c r="AX89" s="31"/>
      <c r="AY89" s="31"/>
      <c r="AZ89" s="40"/>
      <c r="BA89" s="35"/>
      <c r="BB89" s="40"/>
      <c r="BC89" s="186">
        <f t="shared" si="1"/>
        <v>162919063</v>
      </c>
    </row>
    <row r="90" spans="1:55" s="1" customFormat="1" ht="31.5" x14ac:dyDescent="0.25">
      <c r="A90" s="289"/>
      <c r="B90" s="289"/>
      <c r="C90" s="18" t="s">
        <v>190</v>
      </c>
      <c r="D90" s="41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44">
        <f t="shared" si="9"/>
        <v>0</v>
      </c>
      <c r="AO90" s="43"/>
      <c r="AP90" s="26"/>
      <c r="AQ90" s="44"/>
      <c r="AR90" s="36"/>
      <c r="AS90" s="27"/>
      <c r="AT90" s="50"/>
      <c r="AU90" s="43"/>
      <c r="AV90" s="27"/>
      <c r="AW90" s="27"/>
      <c r="AX90" s="27"/>
      <c r="AY90" s="27"/>
      <c r="AZ90" s="44"/>
      <c r="BA90" s="36"/>
      <c r="BB90" s="44"/>
      <c r="BC90" s="192">
        <f t="shared" si="1"/>
        <v>0</v>
      </c>
    </row>
    <row r="91" spans="1:55" s="1" customFormat="1" x14ac:dyDescent="0.25">
      <c r="A91" s="289"/>
      <c r="B91" s="289"/>
      <c r="C91" s="19" t="s">
        <v>191</v>
      </c>
      <c r="D91" s="41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44">
        <f t="shared" si="9"/>
        <v>0</v>
      </c>
      <c r="AO91" s="43"/>
      <c r="AP91" s="26"/>
      <c r="AQ91" s="44"/>
      <c r="AR91" s="36"/>
      <c r="AS91" s="27"/>
      <c r="AT91" s="50"/>
      <c r="AU91" s="43"/>
      <c r="AV91" s="27"/>
      <c r="AW91" s="27"/>
      <c r="AX91" s="27"/>
      <c r="AY91" s="27"/>
      <c r="AZ91" s="44"/>
      <c r="BA91" s="36"/>
      <c r="BB91" s="44"/>
      <c r="BC91" s="192">
        <f t="shared" si="1"/>
        <v>0</v>
      </c>
    </row>
    <row r="92" spans="1:55" s="1" customFormat="1" x14ac:dyDescent="0.25">
      <c r="A92" s="290"/>
      <c r="B92" s="290"/>
      <c r="C92" s="18" t="s">
        <v>87</v>
      </c>
      <c r="D92" s="41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44">
        <f t="shared" si="9"/>
        <v>0</v>
      </c>
      <c r="AO92" s="43"/>
      <c r="AP92" s="26"/>
      <c r="AQ92" s="44"/>
      <c r="AR92" s="36"/>
      <c r="AS92" s="27"/>
      <c r="AT92" s="50"/>
      <c r="AU92" s="43"/>
      <c r="AV92" s="27"/>
      <c r="AW92" s="27"/>
      <c r="AX92" s="27"/>
      <c r="AY92" s="27"/>
      <c r="AZ92" s="44"/>
      <c r="BA92" s="36"/>
      <c r="BB92" s="44"/>
      <c r="BC92" s="188">
        <f t="shared" si="1"/>
        <v>0</v>
      </c>
    </row>
    <row r="93" spans="1:55" s="1" customFormat="1" x14ac:dyDescent="0.25">
      <c r="A93" s="290"/>
      <c r="B93" s="290"/>
      <c r="C93" s="19" t="s">
        <v>60</v>
      </c>
      <c r="D93" s="41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>
        <v>1684</v>
      </c>
      <c r="AM93" s="26">
        <v>156029</v>
      </c>
      <c r="AN93" s="44">
        <f t="shared" si="9"/>
        <v>156029</v>
      </c>
      <c r="AO93" s="43"/>
      <c r="AP93" s="26"/>
      <c r="AQ93" s="44"/>
      <c r="AR93" s="36"/>
      <c r="AS93" s="27"/>
      <c r="AT93" s="50"/>
      <c r="AU93" s="43"/>
      <c r="AV93" s="27"/>
      <c r="AW93" s="27"/>
      <c r="AX93" s="27"/>
      <c r="AY93" s="27"/>
      <c r="AZ93" s="44"/>
      <c r="BA93" s="36"/>
      <c r="BB93" s="44"/>
      <c r="BC93" s="188">
        <f t="shared" si="1"/>
        <v>156029</v>
      </c>
    </row>
    <row r="94" spans="1:55" s="1" customFormat="1" x14ac:dyDescent="0.25">
      <c r="A94" s="290"/>
      <c r="B94" s="290"/>
      <c r="C94" s="18" t="s">
        <v>74</v>
      </c>
      <c r="D94" s="41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>
        <f>906+3</f>
        <v>909</v>
      </c>
      <c r="AM94" s="26">
        <f>1109342+4416</f>
        <v>1113758</v>
      </c>
      <c r="AN94" s="44">
        <f t="shared" si="9"/>
        <v>1113758</v>
      </c>
      <c r="AO94" s="43"/>
      <c r="AP94" s="26"/>
      <c r="AQ94" s="44"/>
      <c r="AR94" s="36"/>
      <c r="AS94" s="27"/>
      <c r="AT94" s="50"/>
      <c r="AU94" s="43"/>
      <c r="AV94" s="27"/>
      <c r="AW94" s="27"/>
      <c r="AX94" s="27"/>
      <c r="AY94" s="27"/>
      <c r="AZ94" s="44"/>
      <c r="BA94" s="36"/>
      <c r="BB94" s="44"/>
      <c r="BC94" s="188">
        <f t="shared" ref="BC94:BC151" si="10">AN94+AQ94+AT94+AW94+BB94+AZ94</f>
        <v>1113758</v>
      </c>
    </row>
    <row r="95" spans="1:55" s="1" customFormat="1" x14ac:dyDescent="0.25">
      <c r="A95" s="290"/>
      <c r="B95" s="290"/>
      <c r="C95" s="18" t="s">
        <v>185</v>
      </c>
      <c r="D95" s="41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>
        <f>576+2</f>
        <v>578</v>
      </c>
      <c r="AM95" s="26">
        <f>397165+2864</f>
        <v>400029</v>
      </c>
      <c r="AN95" s="44">
        <f t="shared" si="9"/>
        <v>400029</v>
      </c>
      <c r="AO95" s="43"/>
      <c r="AP95" s="26"/>
      <c r="AQ95" s="44"/>
      <c r="AR95" s="36"/>
      <c r="AS95" s="27"/>
      <c r="AT95" s="50"/>
      <c r="AU95" s="43"/>
      <c r="AV95" s="27"/>
      <c r="AW95" s="27"/>
      <c r="AX95" s="27"/>
      <c r="AY95" s="27"/>
      <c r="AZ95" s="44"/>
      <c r="BA95" s="36"/>
      <c r="BB95" s="44"/>
      <c r="BC95" s="188">
        <f t="shared" si="10"/>
        <v>400029</v>
      </c>
    </row>
    <row r="96" spans="1:55" s="1" customFormat="1" ht="31.5" x14ac:dyDescent="0.25">
      <c r="A96" s="290"/>
      <c r="B96" s="290"/>
      <c r="C96" s="18" t="s">
        <v>181</v>
      </c>
      <c r="D96" s="41">
        <v>90</v>
      </c>
      <c r="E96" s="26">
        <v>56863</v>
      </c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44">
        <f t="shared" si="9"/>
        <v>56863</v>
      </c>
      <c r="AO96" s="43"/>
      <c r="AP96" s="26"/>
      <c r="AQ96" s="44"/>
      <c r="AR96" s="36"/>
      <c r="AS96" s="27"/>
      <c r="AT96" s="50"/>
      <c r="AU96" s="43"/>
      <c r="AV96" s="27"/>
      <c r="AW96" s="27"/>
      <c r="AX96" s="27"/>
      <c r="AY96" s="27"/>
      <c r="AZ96" s="44"/>
      <c r="BA96" s="36"/>
      <c r="BB96" s="44"/>
      <c r="BC96" s="188">
        <f t="shared" si="10"/>
        <v>56863</v>
      </c>
    </row>
    <row r="97" spans="1:55" s="1" customFormat="1" ht="31.5" x14ac:dyDescent="0.25">
      <c r="A97" s="290"/>
      <c r="B97" s="290"/>
      <c r="C97" s="18" t="s">
        <v>182</v>
      </c>
      <c r="D97" s="41">
        <v>6</v>
      </c>
      <c r="E97" s="26">
        <v>6579</v>
      </c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44">
        <f>E97+G97+M97+O97+Q97+S97+AA97+AC97+AE97+AG97+AI97+AK97+AM97+I97+K97+U97+W97</f>
        <v>6579</v>
      </c>
      <c r="AO97" s="43"/>
      <c r="AP97" s="26"/>
      <c r="AQ97" s="44"/>
      <c r="AR97" s="36"/>
      <c r="AS97" s="27"/>
      <c r="AT97" s="50"/>
      <c r="AU97" s="43"/>
      <c r="AV97" s="27"/>
      <c r="AW97" s="27"/>
      <c r="AX97" s="27"/>
      <c r="AY97" s="27"/>
      <c r="AZ97" s="44"/>
      <c r="BA97" s="36"/>
      <c r="BB97" s="44"/>
      <c r="BC97" s="188">
        <f t="shared" si="10"/>
        <v>6579</v>
      </c>
    </row>
    <row r="98" spans="1:55" s="1" customFormat="1" x14ac:dyDescent="0.25">
      <c r="A98" s="271"/>
      <c r="B98" s="271"/>
      <c r="C98" s="21" t="s">
        <v>183</v>
      </c>
      <c r="D98" s="41">
        <v>893</v>
      </c>
      <c r="E98" s="26">
        <v>521211</v>
      </c>
      <c r="F98" s="26">
        <v>32</v>
      </c>
      <c r="G98" s="26">
        <v>39972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44">
        <f t="shared" ref="AN98:AN101" si="11">E98+G98+M98+O98+Q98+S98+AA98+AC98+AE98+AG98+AI98+AK98+AM98+I98+K98+U98+W98</f>
        <v>561183</v>
      </c>
      <c r="AO98" s="43"/>
      <c r="AP98" s="26"/>
      <c r="AQ98" s="44"/>
      <c r="AR98" s="36"/>
      <c r="AS98" s="27"/>
      <c r="AT98" s="50"/>
      <c r="AU98" s="43"/>
      <c r="AV98" s="27"/>
      <c r="AW98" s="27"/>
      <c r="AX98" s="27"/>
      <c r="AY98" s="27"/>
      <c r="AZ98" s="44"/>
      <c r="BA98" s="36"/>
      <c r="BB98" s="44"/>
      <c r="BC98" s="190">
        <f t="shared" si="10"/>
        <v>561183</v>
      </c>
    </row>
    <row r="99" spans="1:55" s="1" customFormat="1" ht="31.5" x14ac:dyDescent="0.25">
      <c r="A99" s="271"/>
      <c r="B99" s="271"/>
      <c r="C99" s="21" t="s">
        <v>184</v>
      </c>
      <c r="D99" s="41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44">
        <f t="shared" si="11"/>
        <v>0</v>
      </c>
      <c r="AO99" s="43"/>
      <c r="AP99" s="26"/>
      <c r="AQ99" s="44"/>
      <c r="AR99" s="36"/>
      <c r="AS99" s="27"/>
      <c r="AT99" s="50"/>
      <c r="AU99" s="43"/>
      <c r="AV99" s="27"/>
      <c r="AW99" s="27"/>
      <c r="AX99" s="27"/>
      <c r="AY99" s="27"/>
      <c r="AZ99" s="44"/>
      <c r="BA99" s="36"/>
      <c r="BB99" s="44"/>
      <c r="BC99" s="190">
        <f t="shared" si="10"/>
        <v>0</v>
      </c>
    </row>
    <row r="100" spans="1:55" s="1" customFormat="1" x14ac:dyDescent="0.25">
      <c r="A100" s="271"/>
      <c r="B100" s="271"/>
      <c r="C100" s="18" t="s">
        <v>179</v>
      </c>
      <c r="D100" s="41">
        <v>60</v>
      </c>
      <c r="E100" s="26">
        <v>200722</v>
      </c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44">
        <f t="shared" si="11"/>
        <v>200722</v>
      </c>
      <c r="AO100" s="43"/>
      <c r="AP100" s="26"/>
      <c r="AQ100" s="44"/>
      <c r="AR100" s="36"/>
      <c r="AS100" s="27"/>
      <c r="AT100" s="50"/>
      <c r="AU100" s="43"/>
      <c r="AV100" s="27"/>
      <c r="AW100" s="27"/>
      <c r="AX100" s="27"/>
      <c r="AY100" s="27"/>
      <c r="AZ100" s="44"/>
      <c r="BA100" s="36"/>
      <c r="BB100" s="44"/>
      <c r="BC100" s="190">
        <f t="shared" si="10"/>
        <v>200722</v>
      </c>
    </row>
    <row r="101" spans="1:55" s="1" customFormat="1" ht="16.5" thickBot="1" x14ac:dyDescent="0.3">
      <c r="A101" s="286"/>
      <c r="B101" s="286"/>
      <c r="C101" s="22" t="s">
        <v>148</v>
      </c>
      <c r="D101" s="54"/>
      <c r="E101" s="32">
        <v>894099</v>
      </c>
      <c r="F101" s="32"/>
      <c r="G101" s="32">
        <v>136103</v>
      </c>
      <c r="H101" s="32"/>
      <c r="I101" s="32">
        <v>1199238</v>
      </c>
      <c r="J101" s="32"/>
      <c r="K101" s="32">
        <v>18750</v>
      </c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46">
        <f t="shared" si="11"/>
        <v>2248190</v>
      </c>
      <c r="AO101" s="45"/>
      <c r="AP101" s="32"/>
      <c r="AQ101" s="46"/>
      <c r="AR101" s="37"/>
      <c r="AS101" s="33"/>
      <c r="AT101" s="51"/>
      <c r="AU101" s="45"/>
      <c r="AV101" s="33"/>
      <c r="AW101" s="33"/>
      <c r="AX101" s="33"/>
      <c r="AY101" s="33"/>
      <c r="AZ101" s="46"/>
      <c r="BA101" s="37"/>
      <c r="BB101" s="46"/>
      <c r="BC101" s="189">
        <f t="shared" si="10"/>
        <v>2248190</v>
      </c>
    </row>
    <row r="102" spans="1:55" s="1" customFormat="1" x14ac:dyDescent="0.25">
      <c r="A102" s="283">
        <v>12</v>
      </c>
      <c r="B102" s="283">
        <v>790014</v>
      </c>
      <c r="C102" s="97" t="s">
        <v>16</v>
      </c>
      <c r="D102" s="73">
        <v>22596</v>
      </c>
      <c r="E102" s="30">
        <v>28903834</v>
      </c>
      <c r="F102" s="30">
        <f>6608+1-3</f>
        <v>6606</v>
      </c>
      <c r="G102" s="30">
        <f>25253762+2315-5405</f>
        <v>25250672</v>
      </c>
      <c r="H102" s="30">
        <v>2299</v>
      </c>
      <c r="I102" s="30">
        <f>4522749-98306-290766-98306</f>
        <v>4035371</v>
      </c>
      <c r="J102" s="30">
        <v>436</v>
      </c>
      <c r="K102" s="30">
        <v>3416059</v>
      </c>
      <c r="L102" s="30">
        <v>46</v>
      </c>
      <c r="M102" s="30">
        <v>95485</v>
      </c>
      <c r="N102" s="30"/>
      <c r="O102" s="30"/>
      <c r="P102" s="30">
        <v>105</v>
      </c>
      <c r="Q102" s="30">
        <v>206272</v>
      </c>
      <c r="R102" s="30">
        <v>57</v>
      </c>
      <c r="S102" s="30">
        <v>249211</v>
      </c>
      <c r="T102" s="30"/>
      <c r="U102" s="30"/>
      <c r="V102" s="30"/>
      <c r="W102" s="30"/>
      <c r="X102" s="30">
        <v>2364</v>
      </c>
      <c r="Y102" s="30">
        <v>573</v>
      </c>
      <c r="Z102" s="30">
        <v>0</v>
      </c>
      <c r="AA102" s="30">
        <v>7212228</v>
      </c>
      <c r="AB102" s="30">
        <v>526</v>
      </c>
      <c r="AC102" s="30">
        <v>2333431</v>
      </c>
      <c r="AD102" s="30"/>
      <c r="AE102" s="30"/>
      <c r="AF102" s="30">
        <f>371+9</f>
        <v>380</v>
      </c>
      <c r="AG102" s="30">
        <f>651048+14000</f>
        <v>665048</v>
      </c>
      <c r="AH102" s="30">
        <f>1226-1</f>
        <v>1225</v>
      </c>
      <c r="AI102" s="30">
        <f>3803515-1749</f>
        <v>3801766</v>
      </c>
      <c r="AJ102" s="30">
        <f>4971+43</f>
        <v>5014</v>
      </c>
      <c r="AK102" s="30">
        <f>6735358+58262</f>
        <v>6793620</v>
      </c>
      <c r="AL102" s="30"/>
      <c r="AM102" s="30"/>
      <c r="AN102" s="52">
        <f t="shared" ref="AN102:AN112" si="12">E102+G102+M102+O102+Q102+S102+AA102+AC102+AE102+AG102+AI102+AK102+AM102+I102+K102+U102+W102</f>
        <v>82962997</v>
      </c>
      <c r="AO102" s="47">
        <f>1067-1</f>
        <v>1066</v>
      </c>
      <c r="AP102" s="28"/>
      <c r="AQ102" s="48">
        <f>41790325-67359</f>
        <v>41722966</v>
      </c>
      <c r="AR102" s="38">
        <f>96+1</f>
        <v>97</v>
      </c>
      <c r="AS102" s="29"/>
      <c r="AT102" s="52">
        <f>1914446+38478</f>
        <v>1952924</v>
      </c>
      <c r="AU102" s="47">
        <v>4213</v>
      </c>
      <c r="AV102" s="29">
        <v>23022</v>
      </c>
      <c r="AW102" s="29">
        <v>6739452</v>
      </c>
      <c r="AX102" s="29"/>
      <c r="AY102" s="29"/>
      <c r="AZ102" s="48"/>
      <c r="BA102" s="38"/>
      <c r="BB102" s="48"/>
      <c r="BC102" s="192">
        <f t="shared" si="10"/>
        <v>133378339</v>
      </c>
    </row>
    <row r="103" spans="1:55" s="1" customFormat="1" ht="31.5" x14ac:dyDescent="0.25">
      <c r="A103" s="283"/>
      <c r="B103" s="283"/>
      <c r="C103" s="18" t="s">
        <v>190</v>
      </c>
      <c r="D103" s="41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50">
        <f t="shared" si="12"/>
        <v>0</v>
      </c>
      <c r="AO103" s="43"/>
      <c r="AP103" s="26"/>
      <c r="AQ103" s="44"/>
      <c r="AR103" s="36"/>
      <c r="AS103" s="27"/>
      <c r="AT103" s="50"/>
      <c r="AU103" s="43"/>
      <c r="AV103" s="27"/>
      <c r="AW103" s="27"/>
      <c r="AX103" s="27"/>
      <c r="AY103" s="27"/>
      <c r="AZ103" s="44"/>
      <c r="BA103" s="36"/>
      <c r="BB103" s="44"/>
      <c r="BC103" s="188">
        <f t="shared" si="10"/>
        <v>0</v>
      </c>
    </row>
    <row r="104" spans="1:55" s="1" customFormat="1" x14ac:dyDescent="0.25">
      <c r="A104" s="283"/>
      <c r="B104" s="283"/>
      <c r="C104" s="19" t="s">
        <v>191</v>
      </c>
      <c r="D104" s="41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50">
        <f t="shared" si="12"/>
        <v>0</v>
      </c>
      <c r="AO104" s="43"/>
      <c r="AP104" s="26"/>
      <c r="AQ104" s="44"/>
      <c r="AR104" s="36"/>
      <c r="AS104" s="27"/>
      <c r="AT104" s="50"/>
      <c r="AU104" s="43"/>
      <c r="AV104" s="27"/>
      <c r="AW104" s="27"/>
      <c r="AX104" s="27"/>
      <c r="AY104" s="27"/>
      <c r="AZ104" s="44"/>
      <c r="BA104" s="36"/>
      <c r="BB104" s="44"/>
      <c r="BC104" s="192">
        <f t="shared" si="10"/>
        <v>0</v>
      </c>
    </row>
    <row r="105" spans="1:55" s="1" customFormat="1" x14ac:dyDescent="0.25">
      <c r="A105" s="283"/>
      <c r="B105" s="283"/>
      <c r="C105" s="18" t="s">
        <v>87</v>
      </c>
      <c r="D105" s="41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50">
        <f t="shared" si="12"/>
        <v>0</v>
      </c>
      <c r="AO105" s="43"/>
      <c r="AP105" s="26"/>
      <c r="AQ105" s="44"/>
      <c r="AR105" s="36"/>
      <c r="AS105" s="27"/>
      <c r="AT105" s="50"/>
      <c r="AU105" s="43"/>
      <c r="AV105" s="27"/>
      <c r="AW105" s="27"/>
      <c r="AX105" s="27"/>
      <c r="AY105" s="27"/>
      <c r="AZ105" s="44"/>
      <c r="BA105" s="36"/>
      <c r="BB105" s="44"/>
      <c r="BC105" s="188">
        <f t="shared" si="10"/>
        <v>0</v>
      </c>
    </row>
    <row r="106" spans="1:55" s="1" customFormat="1" x14ac:dyDescent="0.25">
      <c r="A106" s="283"/>
      <c r="B106" s="283"/>
      <c r="C106" s="19" t="s">
        <v>60</v>
      </c>
      <c r="D106" s="41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>
        <v>1595</v>
      </c>
      <c r="AM106" s="26">
        <v>143279</v>
      </c>
      <c r="AN106" s="50">
        <f t="shared" si="12"/>
        <v>143279</v>
      </c>
      <c r="AO106" s="43"/>
      <c r="AP106" s="26"/>
      <c r="AQ106" s="44"/>
      <c r="AR106" s="36"/>
      <c r="AS106" s="27"/>
      <c r="AT106" s="50"/>
      <c r="AU106" s="43"/>
      <c r="AV106" s="27"/>
      <c r="AW106" s="27"/>
      <c r="AX106" s="27"/>
      <c r="AY106" s="27"/>
      <c r="AZ106" s="44"/>
      <c r="BA106" s="36"/>
      <c r="BB106" s="44"/>
      <c r="BC106" s="188">
        <f>AN106+AQ106+AT106+AW106+BB106+AZ106</f>
        <v>143279</v>
      </c>
    </row>
    <row r="107" spans="1:55" s="1" customFormat="1" x14ac:dyDescent="0.25">
      <c r="A107" s="283"/>
      <c r="B107" s="283"/>
      <c r="C107" s="18" t="s">
        <v>75</v>
      </c>
      <c r="D107" s="41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>
        <v>62</v>
      </c>
      <c r="AM107" s="26">
        <v>68044</v>
      </c>
      <c r="AN107" s="50">
        <f t="shared" si="12"/>
        <v>68044</v>
      </c>
      <c r="AO107" s="43"/>
      <c r="AP107" s="26"/>
      <c r="AQ107" s="44"/>
      <c r="AR107" s="36"/>
      <c r="AS107" s="27"/>
      <c r="AT107" s="50"/>
      <c r="AU107" s="43"/>
      <c r="AV107" s="27"/>
      <c r="AW107" s="27"/>
      <c r="AX107" s="27"/>
      <c r="AY107" s="27"/>
      <c r="AZ107" s="44"/>
      <c r="BA107" s="36"/>
      <c r="BB107" s="44"/>
      <c r="BC107" s="188">
        <f t="shared" si="10"/>
        <v>68044</v>
      </c>
    </row>
    <row r="108" spans="1:55" s="1" customFormat="1" x14ac:dyDescent="0.25">
      <c r="A108" s="283"/>
      <c r="B108" s="283"/>
      <c r="C108" s="18" t="s">
        <v>56</v>
      </c>
      <c r="D108" s="41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>
        <v>150</v>
      </c>
      <c r="AM108" s="26">
        <v>140228</v>
      </c>
      <c r="AN108" s="50">
        <f t="shared" si="12"/>
        <v>140228</v>
      </c>
      <c r="AO108" s="43"/>
      <c r="AP108" s="26"/>
      <c r="AQ108" s="44"/>
      <c r="AR108" s="36"/>
      <c r="AS108" s="27"/>
      <c r="AT108" s="50"/>
      <c r="AU108" s="43"/>
      <c r="AV108" s="27"/>
      <c r="AW108" s="27"/>
      <c r="AX108" s="27"/>
      <c r="AY108" s="27"/>
      <c r="AZ108" s="44"/>
      <c r="BA108" s="36"/>
      <c r="BB108" s="44"/>
      <c r="BC108" s="188">
        <f t="shared" si="10"/>
        <v>140228</v>
      </c>
    </row>
    <row r="109" spans="1:55" s="1" customFormat="1" x14ac:dyDescent="0.25">
      <c r="A109" s="283"/>
      <c r="B109" s="283"/>
      <c r="C109" s="18" t="s">
        <v>111</v>
      </c>
      <c r="D109" s="41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>
        <v>49</v>
      </c>
      <c r="AM109" s="26">
        <v>123310</v>
      </c>
      <c r="AN109" s="50">
        <f t="shared" si="12"/>
        <v>123310</v>
      </c>
      <c r="AO109" s="43"/>
      <c r="AP109" s="26"/>
      <c r="AQ109" s="44"/>
      <c r="AR109" s="36"/>
      <c r="AS109" s="27"/>
      <c r="AT109" s="50"/>
      <c r="AU109" s="43"/>
      <c r="AV109" s="27"/>
      <c r="AW109" s="27"/>
      <c r="AX109" s="27"/>
      <c r="AY109" s="27"/>
      <c r="AZ109" s="44"/>
      <c r="BA109" s="36"/>
      <c r="BB109" s="44"/>
      <c r="BC109" s="188">
        <f t="shared" si="10"/>
        <v>123310</v>
      </c>
    </row>
    <row r="110" spans="1:55" s="1" customFormat="1" x14ac:dyDescent="0.25">
      <c r="A110" s="283"/>
      <c r="B110" s="283"/>
      <c r="C110" s="18" t="s">
        <v>112</v>
      </c>
      <c r="D110" s="41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>
        <f>133+13</f>
        <v>146</v>
      </c>
      <c r="AM110" s="26">
        <f>167352+16358</f>
        <v>183710</v>
      </c>
      <c r="AN110" s="50">
        <f t="shared" si="12"/>
        <v>183710</v>
      </c>
      <c r="AO110" s="43"/>
      <c r="AP110" s="26"/>
      <c r="AQ110" s="44"/>
      <c r="AR110" s="36"/>
      <c r="AS110" s="27"/>
      <c r="AT110" s="50"/>
      <c r="AU110" s="43"/>
      <c r="AV110" s="27"/>
      <c r="AW110" s="27"/>
      <c r="AX110" s="27"/>
      <c r="AY110" s="27"/>
      <c r="AZ110" s="44"/>
      <c r="BA110" s="36"/>
      <c r="BB110" s="44"/>
      <c r="BC110" s="188">
        <f t="shared" si="10"/>
        <v>183710</v>
      </c>
    </row>
    <row r="111" spans="1:55" s="1" customFormat="1" ht="31.5" x14ac:dyDescent="0.25">
      <c r="A111" s="283"/>
      <c r="B111" s="283"/>
      <c r="C111" s="18" t="s">
        <v>180</v>
      </c>
      <c r="D111" s="41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50">
        <f t="shared" si="12"/>
        <v>0</v>
      </c>
      <c r="AO111" s="43"/>
      <c r="AP111" s="26"/>
      <c r="AQ111" s="44">
        <v>104956900</v>
      </c>
      <c r="AR111" s="36"/>
      <c r="AS111" s="27"/>
      <c r="AT111" s="50"/>
      <c r="AU111" s="43"/>
      <c r="AV111" s="27"/>
      <c r="AW111" s="27"/>
      <c r="AX111" s="27"/>
      <c r="AY111" s="27"/>
      <c r="AZ111" s="44"/>
      <c r="BA111" s="36"/>
      <c r="BB111" s="44"/>
      <c r="BC111" s="188">
        <f t="shared" si="10"/>
        <v>104956900</v>
      </c>
    </row>
    <row r="112" spans="1:55" s="1" customFormat="1" ht="16.5" thickBot="1" x14ac:dyDescent="0.3">
      <c r="A112" s="283"/>
      <c r="B112" s="283"/>
      <c r="C112" s="21" t="s">
        <v>148</v>
      </c>
      <c r="D112" s="74"/>
      <c r="E112" s="61">
        <v>815058</v>
      </c>
      <c r="F112" s="61"/>
      <c r="G112" s="61">
        <v>712195</v>
      </c>
      <c r="H112" s="61"/>
      <c r="I112" s="61">
        <v>113793</v>
      </c>
      <c r="J112" s="61"/>
      <c r="K112" s="61">
        <v>96330</v>
      </c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50">
        <f t="shared" si="12"/>
        <v>1737376</v>
      </c>
      <c r="AO112" s="62"/>
      <c r="AP112" s="61"/>
      <c r="AQ112" s="64"/>
      <c r="AR112" s="65"/>
      <c r="AS112" s="63"/>
      <c r="AT112" s="66"/>
      <c r="AU112" s="62"/>
      <c r="AV112" s="63"/>
      <c r="AW112" s="63"/>
      <c r="AX112" s="63"/>
      <c r="AY112" s="63"/>
      <c r="AZ112" s="64"/>
      <c r="BA112" s="65"/>
      <c r="BB112" s="64"/>
      <c r="BC112" s="190">
        <f t="shared" si="10"/>
        <v>1737376</v>
      </c>
    </row>
    <row r="113" spans="1:55" s="1" customFormat="1" ht="32.25" thickBot="1" x14ac:dyDescent="0.3">
      <c r="A113" s="101">
        <v>13</v>
      </c>
      <c r="B113" s="94">
        <v>790019</v>
      </c>
      <c r="C113" s="158" t="s">
        <v>123</v>
      </c>
      <c r="D113" s="77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60">
        <f t="shared" ref="AN113:AN157" si="13">E113+G113+M113+O113+Q113+S113+AA113+AC113+AE113+AG113+AI113+AK113+AM113+I113+K113+U113+W113</f>
        <v>0</v>
      </c>
      <c r="AO113" s="56"/>
      <c r="AP113" s="55"/>
      <c r="AQ113" s="58"/>
      <c r="AR113" s="59"/>
      <c r="AS113" s="57"/>
      <c r="AT113" s="60"/>
      <c r="AU113" s="56"/>
      <c r="AV113" s="57"/>
      <c r="AW113" s="57"/>
      <c r="AX113" s="57"/>
      <c r="AY113" s="57"/>
      <c r="AZ113" s="58"/>
      <c r="BA113" s="59"/>
      <c r="BB113" s="58"/>
      <c r="BC113" s="191">
        <f t="shared" si="10"/>
        <v>0</v>
      </c>
    </row>
    <row r="114" spans="1:55" s="1" customFormat="1" x14ac:dyDescent="0.25">
      <c r="A114" s="283">
        <v>14</v>
      </c>
      <c r="B114" s="283">
        <v>790021</v>
      </c>
      <c r="C114" s="197" t="s">
        <v>11</v>
      </c>
      <c r="D114" s="75">
        <f>14722+452</f>
        <v>15174</v>
      </c>
      <c r="E114" s="28">
        <f>12326334+384378</f>
        <v>12710712</v>
      </c>
      <c r="F114" s="28">
        <f>5085+199</f>
        <v>5284</v>
      </c>
      <c r="G114" s="28">
        <f>17274832+666018</f>
        <v>17940850</v>
      </c>
      <c r="H114" s="28">
        <v>365</v>
      </c>
      <c r="I114" s="28">
        <v>262275</v>
      </c>
      <c r="J114" s="28">
        <v>298</v>
      </c>
      <c r="K114" s="28">
        <v>686819</v>
      </c>
      <c r="L114" s="28"/>
      <c r="M114" s="28"/>
      <c r="N114" s="28">
        <f>1461+7</f>
        <v>1468</v>
      </c>
      <c r="O114" s="28">
        <f>8212319+39352</f>
        <v>8251671</v>
      </c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52">
        <f t="shared" si="13"/>
        <v>39852327</v>
      </c>
      <c r="AO114" s="47">
        <f>135+AO115</f>
        <v>1696</v>
      </c>
      <c r="AP114" s="28"/>
      <c r="AQ114" s="48">
        <f>14555208+AQ115</f>
        <v>226459370</v>
      </c>
      <c r="AR114" s="38">
        <f>1691-1</f>
        <v>1690</v>
      </c>
      <c r="AS114" s="29"/>
      <c r="AT114" s="52">
        <f>AT115</f>
        <v>308630934</v>
      </c>
      <c r="AU114" s="47"/>
      <c r="AV114" s="29"/>
      <c r="AW114" s="29"/>
      <c r="AX114" s="29"/>
      <c r="AY114" s="29"/>
      <c r="AZ114" s="48"/>
      <c r="BA114" s="38"/>
      <c r="BB114" s="48"/>
      <c r="BC114" s="192">
        <f t="shared" si="10"/>
        <v>574942631</v>
      </c>
    </row>
    <row r="115" spans="1:55" s="1" customFormat="1" x14ac:dyDescent="0.25">
      <c r="A115" s="283"/>
      <c r="B115" s="283"/>
      <c r="C115" s="19" t="s">
        <v>119</v>
      </c>
      <c r="D115" s="41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50">
        <f t="shared" si="13"/>
        <v>0</v>
      </c>
      <c r="AO115" s="41">
        <v>1561</v>
      </c>
      <c r="AP115" s="26"/>
      <c r="AQ115" s="42">
        <v>211904162</v>
      </c>
      <c r="AR115" s="53">
        <f>1691-1</f>
        <v>1690</v>
      </c>
      <c r="AS115" s="26"/>
      <c r="AT115" s="34">
        <f>308642350-11416</f>
        <v>308630934</v>
      </c>
      <c r="AU115" s="43"/>
      <c r="AV115" s="27"/>
      <c r="AW115" s="27"/>
      <c r="AX115" s="27"/>
      <c r="AY115" s="27"/>
      <c r="AZ115" s="44"/>
      <c r="BA115" s="36"/>
      <c r="BB115" s="44"/>
      <c r="BC115" s="187">
        <f t="shared" si="10"/>
        <v>520535096</v>
      </c>
    </row>
    <row r="116" spans="1:55" s="1" customFormat="1" x14ac:dyDescent="0.25">
      <c r="A116" s="283"/>
      <c r="B116" s="283"/>
      <c r="C116" s="18" t="s">
        <v>93</v>
      </c>
      <c r="D116" s="41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>
        <v>1643</v>
      </c>
      <c r="AM116" s="26">
        <v>16766668</v>
      </c>
      <c r="AN116" s="50">
        <f t="shared" si="13"/>
        <v>16766668</v>
      </c>
      <c r="AO116" s="43"/>
      <c r="AP116" s="26"/>
      <c r="AQ116" s="44"/>
      <c r="AR116" s="36"/>
      <c r="AS116" s="27"/>
      <c r="AT116" s="50"/>
      <c r="AU116" s="43"/>
      <c r="AV116" s="27"/>
      <c r="AW116" s="27"/>
      <c r="AX116" s="27"/>
      <c r="AY116" s="27"/>
      <c r="AZ116" s="44"/>
      <c r="BA116" s="36"/>
      <c r="BB116" s="44"/>
      <c r="BC116" s="188">
        <f t="shared" si="10"/>
        <v>16766668</v>
      </c>
    </row>
    <row r="117" spans="1:55" s="1" customFormat="1" x14ac:dyDescent="0.25">
      <c r="A117" s="283"/>
      <c r="B117" s="283"/>
      <c r="C117" s="18" t="s">
        <v>94</v>
      </c>
      <c r="D117" s="41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>
        <v>2224</v>
      </c>
      <c r="AM117" s="26">
        <v>21625225</v>
      </c>
      <c r="AN117" s="50">
        <f t="shared" si="13"/>
        <v>21625225</v>
      </c>
      <c r="AO117" s="43"/>
      <c r="AP117" s="26"/>
      <c r="AQ117" s="44"/>
      <c r="AR117" s="36"/>
      <c r="AS117" s="27"/>
      <c r="AT117" s="50"/>
      <c r="AU117" s="43"/>
      <c r="AV117" s="27"/>
      <c r="AW117" s="27"/>
      <c r="AX117" s="27"/>
      <c r="AY117" s="27"/>
      <c r="AZ117" s="44"/>
      <c r="BA117" s="36"/>
      <c r="BB117" s="44"/>
      <c r="BC117" s="188">
        <f t="shared" si="10"/>
        <v>21625225</v>
      </c>
    </row>
    <row r="118" spans="1:55" s="1" customFormat="1" x14ac:dyDescent="0.25">
      <c r="A118" s="283"/>
      <c r="B118" s="283"/>
      <c r="C118" s="18" t="s">
        <v>74</v>
      </c>
      <c r="D118" s="41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>
        <f>161+3</f>
        <v>164</v>
      </c>
      <c r="AM118" s="26">
        <f>243439+4648</f>
        <v>248087</v>
      </c>
      <c r="AN118" s="50">
        <f t="shared" si="13"/>
        <v>248087</v>
      </c>
      <c r="AO118" s="43"/>
      <c r="AP118" s="26"/>
      <c r="AQ118" s="44"/>
      <c r="AR118" s="36"/>
      <c r="AS118" s="27"/>
      <c r="AT118" s="50"/>
      <c r="AU118" s="43"/>
      <c r="AV118" s="27"/>
      <c r="AW118" s="27"/>
      <c r="AX118" s="27"/>
      <c r="AY118" s="27"/>
      <c r="AZ118" s="44"/>
      <c r="BA118" s="36"/>
      <c r="BB118" s="44"/>
      <c r="BC118" s="188">
        <f t="shared" si="10"/>
        <v>248087</v>
      </c>
    </row>
    <row r="119" spans="1:55" s="1" customFormat="1" x14ac:dyDescent="0.25">
      <c r="A119" s="283"/>
      <c r="B119" s="283"/>
      <c r="C119" s="18" t="s">
        <v>75</v>
      </c>
      <c r="D119" s="41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>
        <f>2167+4</f>
        <v>2171</v>
      </c>
      <c r="AM119" s="26">
        <f>5416183+8219</f>
        <v>5424402</v>
      </c>
      <c r="AN119" s="50">
        <f t="shared" si="13"/>
        <v>5424402</v>
      </c>
      <c r="AO119" s="43"/>
      <c r="AP119" s="26"/>
      <c r="AQ119" s="44"/>
      <c r="AR119" s="36"/>
      <c r="AS119" s="27"/>
      <c r="AT119" s="50"/>
      <c r="AU119" s="43"/>
      <c r="AV119" s="27"/>
      <c r="AW119" s="27"/>
      <c r="AX119" s="27"/>
      <c r="AY119" s="27"/>
      <c r="AZ119" s="44"/>
      <c r="BA119" s="36"/>
      <c r="BB119" s="44"/>
      <c r="BC119" s="188">
        <f t="shared" si="10"/>
        <v>5424402</v>
      </c>
    </row>
    <row r="120" spans="1:55" s="1" customFormat="1" ht="47.25" x14ac:dyDescent="0.25">
      <c r="A120" s="283"/>
      <c r="B120" s="283"/>
      <c r="C120" s="20" t="s">
        <v>92</v>
      </c>
      <c r="D120" s="41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>
        <v>1230</v>
      </c>
      <c r="AM120" s="26">
        <v>5740498</v>
      </c>
      <c r="AN120" s="50">
        <f t="shared" si="13"/>
        <v>5740498</v>
      </c>
      <c r="AO120" s="43"/>
      <c r="AP120" s="26"/>
      <c r="AQ120" s="44"/>
      <c r="AR120" s="36"/>
      <c r="AS120" s="27"/>
      <c r="AT120" s="50"/>
      <c r="AU120" s="43"/>
      <c r="AV120" s="27"/>
      <c r="AW120" s="27"/>
      <c r="AX120" s="27"/>
      <c r="AY120" s="27"/>
      <c r="AZ120" s="44"/>
      <c r="BA120" s="36"/>
      <c r="BB120" s="44"/>
      <c r="BC120" s="188">
        <f t="shared" si="10"/>
        <v>5740498</v>
      </c>
    </row>
    <row r="121" spans="1:55" s="1" customFormat="1" x14ac:dyDescent="0.25">
      <c r="A121" s="283"/>
      <c r="B121" s="283"/>
      <c r="C121" s="107" t="s">
        <v>26</v>
      </c>
      <c r="D121" s="41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50">
        <f t="shared" si="13"/>
        <v>0</v>
      </c>
      <c r="AO121" s="43">
        <f>52+5</f>
        <v>57</v>
      </c>
      <c r="AP121" s="26"/>
      <c r="AQ121" s="44">
        <f>18140561+1299414</f>
        <v>19439975</v>
      </c>
      <c r="AR121" s="36"/>
      <c r="AS121" s="27"/>
      <c r="AT121" s="50"/>
      <c r="AU121" s="43"/>
      <c r="AV121" s="27"/>
      <c r="AW121" s="27"/>
      <c r="AX121" s="27"/>
      <c r="AY121" s="27"/>
      <c r="AZ121" s="44"/>
      <c r="BA121" s="36"/>
      <c r="BB121" s="44"/>
      <c r="BC121" s="188">
        <f t="shared" si="10"/>
        <v>19439975</v>
      </c>
    </row>
    <row r="122" spans="1:55" s="1" customFormat="1" ht="16.5" thickBot="1" x14ac:dyDescent="0.3">
      <c r="A122" s="283"/>
      <c r="B122" s="283"/>
      <c r="C122" s="98" t="s">
        <v>119</v>
      </c>
      <c r="D122" s="74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6">
        <f t="shared" si="13"/>
        <v>0</v>
      </c>
      <c r="AO122" s="74">
        <f>46+4</f>
        <v>50</v>
      </c>
      <c r="AP122" s="61"/>
      <c r="AQ122" s="159">
        <f>17264256+1153364</f>
        <v>18417620</v>
      </c>
      <c r="AR122" s="65"/>
      <c r="AS122" s="63"/>
      <c r="AT122" s="66"/>
      <c r="AU122" s="62"/>
      <c r="AV122" s="63"/>
      <c r="AW122" s="63"/>
      <c r="AX122" s="63"/>
      <c r="AY122" s="63"/>
      <c r="AZ122" s="64"/>
      <c r="BA122" s="65"/>
      <c r="BB122" s="64"/>
      <c r="BC122" s="193">
        <f t="shared" si="10"/>
        <v>18417620</v>
      </c>
    </row>
    <row r="123" spans="1:55" s="1" customFormat="1" ht="16.5" thickBot="1" x14ac:dyDescent="0.3">
      <c r="A123" s="94">
        <v>15</v>
      </c>
      <c r="B123" s="94">
        <v>790025</v>
      </c>
      <c r="C123" s="161" t="s">
        <v>23</v>
      </c>
      <c r="D123" s="77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60">
        <f t="shared" si="13"/>
        <v>0</v>
      </c>
      <c r="AO123" s="56"/>
      <c r="AP123" s="55"/>
      <c r="AQ123" s="58"/>
      <c r="AR123" s="59"/>
      <c r="AS123" s="57"/>
      <c r="AT123" s="60"/>
      <c r="AU123" s="56"/>
      <c r="AV123" s="57"/>
      <c r="AW123" s="57"/>
      <c r="AX123" s="57"/>
      <c r="AY123" s="57"/>
      <c r="AZ123" s="58"/>
      <c r="BA123" s="59"/>
      <c r="BB123" s="58"/>
      <c r="BC123" s="191">
        <f t="shared" si="10"/>
        <v>0</v>
      </c>
    </row>
    <row r="124" spans="1:55" s="1" customFormat="1" x14ac:dyDescent="0.25">
      <c r="A124" s="283">
        <v>16</v>
      </c>
      <c r="B124" s="283">
        <v>790027</v>
      </c>
      <c r="C124" s="197" t="s">
        <v>15</v>
      </c>
      <c r="D124" s="75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52">
        <f t="shared" si="13"/>
        <v>0</v>
      </c>
      <c r="AO124" s="47"/>
      <c r="AP124" s="28"/>
      <c r="AQ124" s="48"/>
      <c r="AR124" s="38"/>
      <c r="AS124" s="29"/>
      <c r="AT124" s="52"/>
      <c r="AU124" s="47"/>
      <c r="AV124" s="29"/>
      <c r="AW124" s="29"/>
      <c r="AX124" s="29"/>
      <c r="AY124" s="29"/>
      <c r="AZ124" s="48"/>
      <c r="BA124" s="38">
        <v>30470</v>
      </c>
      <c r="BB124" s="48">
        <v>287699193</v>
      </c>
      <c r="BC124" s="192">
        <f t="shared" si="10"/>
        <v>287699193</v>
      </c>
    </row>
    <row r="125" spans="1:55" s="1" customFormat="1" ht="16.5" thickBot="1" x14ac:dyDescent="0.3">
      <c r="A125" s="283"/>
      <c r="B125" s="283"/>
      <c r="C125" s="21" t="s">
        <v>108</v>
      </c>
      <c r="D125" s="74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6">
        <f t="shared" si="13"/>
        <v>0</v>
      </c>
      <c r="AO125" s="62"/>
      <c r="AP125" s="61"/>
      <c r="AQ125" s="64"/>
      <c r="AR125" s="65"/>
      <c r="AS125" s="63"/>
      <c r="AT125" s="66"/>
      <c r="AU125" s="62"/>
      <c r="AV125" s="63"/>
      <c r="AW125" s="63"/>
      <c r="AX125" s="63"/>
      <c r="AY125" s="63"/>
      <c r="AZ125" s="64"/>
      <c r="BA125" s="65">
        <v>85</v>
      </c>
      <c r="BB125" s="64">
        <v>6909706</v>
      </c>
      <c r="BC125" s="190">
        <f t="shared" si="10"/>
        <v>6909706</v>
      </c>
    </row>
    <row r="126" spans="1:55" s="1" customFormat="1" ht="16.5" thickBot="1" x14ac:dyDescent="0.3">
      <c r="A126" s="94">
        <v>17</v>
      </c>
      <c r="B126" s="101">
        <v>790031</v>
      </c>
      <c r="C126" s="23" t="s">
        <v>31</v>
      </c>
      <c r="D126" s="77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>
        <f>4603+14</f>
        <v>4617</v>
      </c>
      <c r="AM126" s="55">
        <f>41825676+126444</f>
        <v>41952120</v>
      </c>
      <c r="AN126" s="60">
        <f t="shared" si="13"/>
        <v>41952120</v>
      </c>
      <c r="AO126" s="56"/>
      <c r="AP126" s="55"/>
      <c r="AQ126" s="58"/>
      <c r="AR126" s="59"/>
      <c r="AS126" s="57"/>
      <c r="AT126" s="60"/>
      <c r="AU126" s="56"/>
      <c r="AV126" s="57"/>
      <c r="AW126" s="57"/>
      <c r="AX126" s="57"/>
      <c r="AY126" s="57"/>
      <c r="AZ126" s="58"/>
      <c r="BA126" s="59"/>
      <c r="BB126" s="58"/>
      <c r="BC126" s="191">
        <f>AN126+AQ126+AT126+AW126+BB126+AZ126</f>
        <v>41952120</v>
      </c>
    </row>
    <row r="127" spans="1:55" s="1" customFormat="1" x14ac:dyDescent="0.25">
      <c r="A127" s="289">
        <v>18</v>
      </c>
      <c r="B127" s="283">
        <v>790038</v>
      </c>
      <c r="C127" s="97" t="s">
        <v>64</v>
      </c>
      <c r="D127" s="75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52">
        <f t="shared" si="13"/>
        <v>0</v>
      </c>
      <c r="AO127" s="47"/>
      <c r="AP127" s="28"/>
      <c r="AQ127" s="48"/>
      <c r="AR127" s="38"/>
      <c r="AS127" s="29"/>
      <c r="AT127" s="52"/>
      <c r="AU127" s="47"/>
      <c r="AV127" s="29"/>
      <c r="AW127" s="29"/>
      <c r="AX127" s="29"/>
      <c r="AY127" s="29"/>
      <c r="AZ127" s="48"/>
      <c r="BA127" s="38"/>
      <c r="BB127" s="48"/>
      <c r="BC127" s="192">
        <f t="shared" si="10"/>
        <v>0</v>
      </c>
    </row>
    <row r="128" spans="1:55" s="1" customFormat="1" x14ac:dyDescent="0.25">
      <c r="A128" s="290"/>
      <c r="B128" s="283"/>
      <c r="C128" s="18" t="s">
        <v>95</v>
      </c>
      <c r="D128" s="41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>
        <f>2435+38</f>
        <v>2473</v>
      </c>
      <c r="AM128" s="26">
        <f>7864152+178294</f>
        <v>8042446</v>
      </c>
      <c r="AN128" s="50">
        <f t="shared" si="13"/>
        <v>8042446</v>
      </c>
      <c r="AO128" s="43"/>
      <c r="AP128" s="26"/>
      <c r="AQ128" s="44"/>
      <c r="AR128" s="36"/>
      <c r="AS128" s="27"/>
      <c r="AT128" s="50"/>
      <c r="AU128" s="43"/>
      <c r="AV128" s="27"/>
      <c r="AW128" s="27"/>
      <c r="AX128" s="27"/>
      <c r="AY128" s="27"/>
      <c r="AZ128" s="44"/>
      <c r="BA128" s="36"/>
      <c r="BB128" s="44"/>
      <c r="BC128" s="188">
        <f t="shared" si="10"/>
        <v>8042446</v>
      </c>
    </row>
    <row r="129" spans="1:55" s="1" customFormat="1" ht="16.5" thickBot="1" x14ac:dyDescent="0.3">
      <c r="A129" s="271"/>
      <c r="B129" s="283"/>
      <c r="C129" s="21" t="s">
        <v>91</v>
      </c>
      <c r="D129" s="74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>
        <f>500+8</f>
        <v>508</v>
      </c>
      <c r="AM129" s="61">
        <f>2011664+31957</f>
        <v>2043621</v>
      </c>
      <c r="AN129" s="66">
        <f t="shared" si="13"/>
        <v>2043621</v>
      </c>
      <c r="AO129" s="62"/>
      <c r="AP129" s="61"/>
      <c r="AQ129" s="64"/>
      <c r="AR129" s="65"/>
      <c r="AS129" s="63"/>
      <c r="AT129" s="66"/>
      <c r="AU129" s="62"/>
      <c r="AV129" s="63"/>
      <c r="AW129" s="63"/>
      <c r="AX129" s="63"/>
      <c r="AY129" s="63"/>
      <c r="AZ129" s="64"/>
      <c r="BA129" s="65"/>
      <c r="BB129" s="64"/>
      <c r="BC129" s="190">
        <f t="shared" si="10"/>
        <v>2043621</v>
      </c>
    </row>
    <row r="130" spans="1:55" s="1" customFormat="1" ht="16.5" thickBot="1" x14ac:dyDescent="0.3">
      <c r="A130" s="94">
        <v>19</v>
      </c>
      <c r="B130" s="256">
        <v>790041</v>
      </c>
      <c r="C130" s="161" t="s">
        <v>24</v>
      </c>
      <c r="D130" s="77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>
        <v>2494</v>
      </c>
      <c r="AM130" s="55">
        <v>1047094</v>
      </c>
      <c r="AN130" s="60">
        <f t="shared" si="13"/>
        <v>1047094</v>
      </c>
      <c r="AO130" s="56"/>
      <c r="AP130" s="55"/>
      <c r="AQ130" s="58"/>
      <c r="AR130" s="105"/>
      <c r="AS130" s="103"/>
      <c r="AT130" s="99"/>
      <c r="AU130" s="56"/>
      <c r="AV130" s="57"/>
      <c r="AW130" s="57"/>
      <c r="AX130" s="57"/>
      <c r="AY130" s="57"/>
      <c r="AZ130" s="58"/>
      <c r="BA130" s="59"/>
      <c r="BB130" s="58"/>
      <c r="BC130" s="191">
        <f t="shared" si="10"/>
        <v>1047094</v>
      </c>
    </row>
    <row r="131" spans="1:55" s="1" customFormat="1" x14ac:dyDescent="0.25">
      <c r="A131" s="291">
        <v>20</v>
      </c>
      <c r="B131" s="270">
        <v>790044</v>
      </c>
      <c r="C131" s="223" t="s">
        <v>65</v>
      </c>
      <c r="D131" s="75">
        <f>96+5</f>
        <v>101</v>
      </c>
      <c r="E131" s="28">
        <f>56379+4270</f>
        <v>60649</v>
      </c>
      <c r="F131" s="28">
        <v>2</v>
      </c>
      <c r="G131" s="28">
        <v>2462</v>
      </c>
      <c r="H131" s="28">
        <f>7+1</f>
        <v>8</v>
      </c>
      <c r="I131" s="28">
        <f>5036+720</f>
        <v>5756</v>
      </c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52">
        <f t="shared" si="13"/>
        <v>68867</v>
      </c>
      <c r="AO131" s="47">
        <v>113</v>
      </c>
      <c r="AP131" s="28"/>
      <c r="AQ131" s="52">
        <v>10029108</v>
      </c>
      <c r="AR131" s="39"/>
      <c r="AS131" s="31"/>
      <c r="AT131" s="40"/>
      <c r="AU131" s="38"/>
      <c r="AV131" s="29"/>
      <c r="AW131" s="29"/>
      <c r="AX131" s="29"/>
      <c r="AY131" s="29"/>
      <c r="AZ131" s="48"/>
      <c r="BA131" s="38"/>
      <c r="BB131" s="48"/>
      <c r="BC131" s="192">
        <f t="shared" si="10"/>
        <v>10097975</v>
      </c>
    </row>
    <row r="132" spans="1:55" s="1" customFormat="1" x14ac:dyDescent="0.25">
      <c r="A132" s="292"/>
      <c r="B132" s="290"/>
      <c r="C132" s="220" t="s">
        <v>26</v>
      </c>
      <c r="D132" s="41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50">
        <f t="shared" si="13"/>
        <v>0</v>
      </c>
      <c r="AO132" s="43">
        <v>30</v>
      </c>
      <c r="AP132" s="26"/>
      <c r="AQ132" s="50">
        <v>6310312</v>
      </c>
      <c r="AR132" s="43"/>
      <c r="AS132" s="27"/>
      <c r="AT132" s="44"/>
      <c r="AU132" s="36"/>
      <c r="AV132" s="27"/>
      <c r="AW132" s="27"/>
      <c r="AX132" s="27"/>
      <c r="AY132" s="27"/>
      <c r="AZ132" s="44"/>
      <c r="BA132" s="36"/>
      <c r="BB132" s="44"/>
      <c r="BC132" s="188">
        <f t="shared" si="10"/>
        <v>6310312</v>
      </c>
    </row>
    <row r="133" spans="1:55" s="1" customFormat="1" x14ac:dyDescent="0.25">
      <c r="A133" s="293"/>
      <c r="B133" s="290"/>
      <c r="C133" s="221" t="s">
        <v>189</v>
      </c>
      <c r="D133" s="41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50">
        <f t="shared" si="13"/>
        <v>0</v>
      </c>
      <c r="AO133" s="41">
        <v>23</v>
      </c>
      <c r="AP133" s="26"/>
      <c r="AQ133" s="34">
        <v>5079233</v>
      </c>
      <c r="AR133" s="43"/>
      <c r="AS133" s="27"/>
      <c r="AT133" s="44"/>
      <c r="AU133" s="36"/>
      <c r="AV133" s="27"/>
      <c r="AW133" s="27"/>
      <c r="AX133" s="27"/>
      <c r="AY133" s="27"/>
      <c r="AZ133" s="44"/>
      <c r="BA133" s="36"/>
      <c r="BB133" s="44"/>
      <c r="BC133" s="194">
        <f t="shared" si="10"/>
        <v>5079233</v>
      </c>
    </row>
    <row r="134" spans="1:55" s="1" customFormat="1" x14ac:dyDescent="0.25">
      <c r="A134" s="293"/>
      <c r="B134" s="290"/>
      <c r="C134" s="222" t="s">
        <v>183</v>
      </c>
      <c r="D134" s="41">
        <v>9</v>
      </c>
      <c r="E134" s="26">
        <v>5545</v>
      </c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50">
        <f t="shared" si="13"/>
        <v>5545</v>
      </c>
      <c r="AO134" s="62"/>
      <c r="AP134" s="61"/>
      <c r="AQ134" s="66"/>
      <c r="AR134" s="62"/>
      <c r="AS134" s="63"/>
      <c r="AT134" s="64"/>
      <c r="AU134" s="65"/>
      <c r="AV134" s="63"/>
      <c r="AW134" s="63"/>
      <c r="AX134" s="63"/>
      <c r="AY134" s="63"/>
      <c r="AZ134" s="64"/>
      <c r="BA134" s="65"/>
      <c r="BB134" s="64"/>
      <c r="BC134" s="192">
        <f t="shared" si="10"/>
        <v>5545</v>
      </c>
    </row>
    <row r="135" spans="1:55" s="1" customFormat="1" ht="16.5" thickBot="1" x14ac:dyDescent="0.3">
      <c r="A135" s="293"/>
      <c r="B135" s="257">
        <v>791044</v>
      </c>
      <c r="C135" s="224" t="s">
        <v>32</v>
      </c>
      <c r="D135" s="74">
        <v>815</v>
      </c>
      <c r="E135" s="61">
        <v>454199</v>
      </c>
      <c r="F135" s="61">
        <v>342</v>
      </c>
      <c r="G135" s="61">
        <v>631507</v>
      </c>
      <c r="H135" s="61">
        <v>16</v>
      </c>
      <c r="I135" s="61">
        <v>10237</v>
      </c>
      <c r="J135" s="61">
        <v>2</v>
      </c>
      <c r="K135" s="61">
        <v>4380</v>
      </c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>
        <f>249+9</f>
        <v>258</v>
      </c>
      <c r="AC135" s="61">
        <f>913411+34555</f>
        <v>947966</v>
      </c>
      <c r="AD135" s="61"/>
      <c r="AE135" s="61"/>
      <c r="AF135" s="61">
        <v>264</v>
      </c>
      <c r="AG135" s="61">
        <v>75829</v>
      </c>
      <c r="AH135" s="61">
        <f>182+10</f>
        <v>192</v>
      </c>
      <c r="AI135" s="61">
        <f>352515+20249</f>
        <v>372764</v>
      </c>
      <c r="AJ135" s="61"/>
      <c r="AK135" s="61"/>
      <c r="AL135" s="61"/>
      <c r="AM135" s="61"/>
      <c r="AN135" s="66">
        <f t="shared" si="13"/>
        <v>2496882</v>
      </c>
      <c r="AO135" s="62"/>
      <c r="AP135" s="61"/>
      <c r="AQ135" s="66"/>
      <c r="AR135" s="45">
        <v>159</v>
      </c>
      <c r="AS135" s="33"/>
      <c r="AT135" s="46">
        <v>3124805</v>
      </c>
      <c r="AU135" s="65"/>
      <c r="AV135" s="63"/>
      <c r="AW135" s="63"/>
      <c r="AX135" s="63"/>
      <c r="AY135" s="63"/>
      <c r="AZ135" s="64"/>
      <c r="BA135" s="65"/>
      <c r="BB135" s="64"/>
      <c r="BC135" s="190">
        <f t="shared" si="10"/>
        <v>5621687</v>
      </c>
    </row>
    <row r="136" spans="1:55" s="1" customFormat="1" ht="16.5" thickBot="1" x14ac:dyDescent="0.3">
      <c r="A136" s="94">
        <v>21</v>
      </c>
      <c r="B136" s="101">
        <v>790054</v>
      </c>
      <c r="C136" s="179" t="s">
        <v>122</v>
      </c>
      <c r="D136" s="77"/>
      <c r="E136" s="55"/>
      <c r="F136" s="55"/>
      <c r="G136" s="55"/>
      <c r="H136" s="55"/>
      <c r="I136" s="55"/>
      <c r="J136" s="55"/>
      <c r="K136" s="55"/>
      <c r="L136" s="55"/>
      <c r="M136" s="55"/>
      <c r="N136" s="55"/>
      <c r="O136" s="55"/>
      <c r="P136" s="55"/>
      <c r="Q136" s="55"/>
      <c r="R136" s="55"/>
      <c r="S136" s="55"/>
      <c r="T136" s="55"/>
      <c r="U136" s="55"/>
      <c r="V136" s="55"/>
      <c r="W136" s="55"/>
      <c r="X136" s="55"/>
      <c r="Y136" s="55"/>
      <c r="Z136" s="55"/>
      <c r="AA136" s="55"/>
      <c r="AB136" s="55"/>
      <c r="AC136" s="55"/>
      <c r="AD136" s="55"/>
      <c r="AE136" s="55"/>
      <c r="AF136" s="55"/>
      <c r="AG136" s="55"/>
      <c r="AH136" s="55"/>
      <c r="AI136" s="55"/>
      <c r="AJ136" s="55"/>
      <c r="AK136" s="55"/>
      <c r="AL136" s="55"/>
      <c r="AM136" s="55"/>
      <c r="AN136" s="60">
        <f t="shared" si="13"/>
        <v>0</v>
      </c>
      <c r="AO136" s="56"/>
      <c r="AP136" s="55"/>
      <c r="AQ136" s="60"/>
      <c r="AR136" s="118"/>
      <c r="AS136" s="119"/>
      <c r="AT136" s="117"/>
      <c r="AU136" s="59"/>
      <c r="AV136" s="57"/>
      <c r="AW136" s="57"/>
      <c r="AX136" s="57"/>
      <c r="AY136" s="57"/>
      <c r="AZ136" s="58"/>
      <c r="BA136" s="59"/>
      <c r="BB136" s="58"/>
      <c r="BC136" s="191">
        <f t="shared" si="10"/>
        <v>0</v>
      </c>
    </row>
    <row r="137" spans="1:55" s="1" customFormat="1" ht="16.5" thickBot="1" x14ac:dyDescent="0.3">
      <c r="A137" s="260">
        <v>22</v>
      </c>
      <c r="B137" s="261">
        <v>790057</v>
      </c>
      <c r="C137" s="199" t="s">
        <v>101</v>
      </c>
      <c r="D137" s="76">
        <f>11+2</f>
        <v>13</v>
      </c>
      <c r="E137" s="67">
        <f>6942+1263</f>
        <v>8205</v>
      </c>
      <c r="F137" s="67"/>
      <c r="G137" s="67"/>
      <c r="H137" s="67"/>
      <c r="I137" s="67"/>
      <c r="J137" s="67"/>
      <c r="K137" s="67"/>
      <c r="L137" s="67"/>
      <c r="M137" s="67"/>
      <c r="N137" s="67"/>
      <c r="O137" s="67"/>
      <c r="P137" s="67"/>
      <c r="Q137" s="67"/>
      <c r="R137" s="67"/>
      <c r="S137" s="67"/>
      <c r="T137" s="67"/>
      <c r="U137" s="67"/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72">
        <f t="shared" si="13"/>
        <v>8205</v>
      </c>
      <c r="AO137" s="68"/>
      <c r="AP137" s="67"/>
      <c r="AQ137" s="70"/>
      <c r="AR137" s="71"/>
      <c r="AS137" s="69"/>
      <c r="AT137" s="72"/>
      <c r="AU137" s="68"/>
      <c r="AV137" s="69"/>
      <c r="AW137" s="69"/>
      <c r="AX137" s="69"/>
      <c r="AY137" s="69"/>
      <c r="AZ137" s="70"/>
      <c r="BA137" s="71"/>
      <c r="BB137" s="70"/>
      <c r="BC137" s="195">
        <f t="shared" si="10"/>
        <v>8205</v>
      </c>
    </row>
    <row r="138" spans="1:55" s="1" customFormat="1" x14ac:dyDescent="0.25">
      <c r="A138" s="282">
        <v>23</v>
      </c>
      <c r="B138" s="282">
        <v>790060</v>
      </c>
      <c r="C138" s="163" t="s">
        <v>63</v>
      </c>
      <c r="D138" s="73">
        <v>1524</v>
      </c>
      <c r="E138" s="30">
        <v>893021</v>
      </c>
      <c r="F138" s="30">
        <v>65</v>
      </c>
      <c r="G138" s="30">
        <v>81192</v>
      </c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49">
        <f t="shared" si="13"/>
        <v>974213</v>
      </c>
      <c r="AO138" s="39"/>
      <c r="AP138" s="30"/>
      <c r="AQ138" s="40"/>
      <c r="AR138" s="35"/>
      <c r="AS138" s="31"/>
      <c r="AT138" s="49"/>
      <c r="AU138" s="39"/>
      <c r="AV138" s="31"/>
      <c r="AW138" s="31"/>
      <c r="AX138" s="31"/>
      <c r="AY138" s="31"/>
      <c r="AZ138" s="40"/>
      <c r="BA138" s="35"/>
      <c r="BB138" s="40"/>
      <c r="BC138" s="186">
        <f t="shared" si="10"/>
        <v>974213</v>
      </c>
    </row>
    <row r="139" spans="1:55" s="1" customFormat="1" ht="16.5" thickBot="1" x14ac:dyDescent="0.3">
      <c r="A139" s="284"/>
      <c r="B139" s="284"/>
      <c r="C139" s="22" t="s">
        <v>183</v>
      </c>
      <c r="D139" s="54">
        <f>759+121</f>
        <v>880</v>
      </c>
      <c r="E139" s="32">
        <v>515029</v>
      </c>
      <c r="F139" s="32">
        <f>87+31</f>
        <v>118</v>
      </c>
      <c r="G139" s="32">
        <v>147394</v>
      </c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51">
        <f t="shared" si="13"/>
        <v>662423</v>
      </c>
      <c r="AO139" s="45"/>
      <c r="AP139" s="32"/>
      <c r="AQ139" s="46"/>
      <c r="AR139" s="37"/>
      <c r="AS139" s="33"/>
      <c r="AT139" s="51"/>
      <c r="AU139" s="45"/>
      <c r="AV139" s="33"/>
      <c r="AW139" s="33"/>
      <c r="AX139" s="33"/>
      <c r="AY139" s="33"/>
      <c r="AZ139" s="46"/>
      <c r="BA139" s="37"/>
      <c r="BB139" s="46"/>
      <c r="BC139" s="202">
        <f t="shared" si="10"/>
        <v>662423</v>
      </c>
    </row>
    <row r="140" spans="1:55" s="1" customFormat="1" x14ac:dyDescent="0.25">
      <c r="A140" s="283">
        <v>24</v>
      </c>
      <c r="B140" s="283">
        <v>790062</v>
      </c>
      <c r="C140" s="97" t="s">
        <v>62</v>
      </c>
      <c r="D140" s="75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52">
        <f t="shared" si="13"/>
        <v>0</v>
      </c>
      <c r="AO140" s="47"/>
      <c r="AP140" s="28"/>
      <c r="AQ140" s="48"/>
      <c r="AR140" s="38"/>
      <c r="AS140" s="29"/>
      <c r="AT140" s="52"/>
      <c r="AU140" s="47"/>
      <c r="AV140" s="29"/>
      <c r="AW140" s="29"/>
      <c r="AX140" s="29"/>
      <c r="AY140" s="29"/>
      <c r="AZ140" s="48"/>
      <c r="BA140" s="38"/>
      <c r="BB140" s="48"/>
      <c r="BC140" s="192">
        <f t="shared" si="10"/>
        <v>0</v>
      </c>
    </row>
    <row r="141" spans="1:55" s="1" customFormat="1" ht="16.5" thickBot="1" x14ac:dyDescent="0.3">
      <c r="A141" s="283"/>
      <c r="B141" s="283"/>
      <c r="C141" s="21" t="s">
        <v>60</v>
      </c>
      <c r="D141" s="74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>
        <v>1558</v>
      </c>
      <c r="AM141" s="61">
        <v>259439</v>
      </c>
      <c r="AN141" s="66">
        <f t="shared" si="13"/>
        <v>259439</v>
      </c>
      <c r="AO141" s="62"/>
      <c r="AP141" s="61"/>
      <c r="AQ141" s="64"/>
      <c r="AR141" s="65"/>
      <c r="AS141" s="63"/>
      <c r="AT141" s="66"/>
      <c r="AU141" s="62"/>
      <c r="AV141" s="63"/>
      <c r="AW141" s="63"/>
      <c r="AX141" s="63"/>
      <c r="AY141" s="63"/>
      <c r="AZ141" s="64"/>
      <c r="BA141" s="65"/>
      <c r="BB141" s="64"/>
      <c r="BC141" s="190">
        <f t="shared" si="10"/>
        <v>259439</v>
      </c>
    </row>
    <row r="142" spans="1:55" s="1" customFormat="1" ht="16.5" thickBot="1" x14ac:dyDescent="0.3">
      <c r="A142" s="94">
        <v>25</v>
      </c>
      <c r="B142" s="101">
        <v>790063</v>
      </c>
      <c r="C142" s="23" t="s">
        <v>120</v>
      </c>
      <c r="D142" s="77">
        <v>1931</v>
      </c>
      <c r="E142" s="55">
        <v>3049534</v>
      </c>
      <c r="F142" s="55">
        <v>1216</v>
      </c>
      <c r="G142" s="55">
        <v>1916648</v>
      </c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60">
        <f t="shared" si="13"/>
        <v>4966182</v>
      </c>
      <c r="AO142" s="56"/>
      <c r="AP142" s="55"/>
      <c r="AQ142" s="58"/>
      <c r="AR142" s="59"/>
      <c r="AS142" s="57"/>
      <c r="AT142" s="60"/>
      <c r="AU142" s="56"/>
      <c r="AV142" s="57"/>
      <c r="AW142" s="57"/>
      <c r="AX142" s="57"/>
      <c r="AY142" s="57"/>
      <c r="AZ142" s="58"/>
      <c r="BA142" s="59"/>
      <c r="BB142" s="58"/>
      <c r="BC142" s="191">
        <f t="shared" si="10"/>
        <v>4966182</v>
      </c>
    </row>
    <row r="143" spans="1:55" s="1" customFormat="1" ht="16.5" thickBot="1" x14ac:dyDescent="0.3">
      <c r="A143" s="260">
        <v>26</v>
      </c>
      <c r="B143" s="260">
        <v>790066</v>
      </c>
      <c r="C143" s="200" t="s">
        <v>57</v>
      </c>
      <c r="D143" s="76"/>
      <c r="E143" s="67"/>
      <c r="F143" s="67"/>
      <c r="G143" s="67"/>
      <c r="H143" s="67"/>
      <c r="I143" s="67"/>
      <c r="J143" s="67"/>
      <c r="K143" s="67"/>
      <c r="L143" s="67"/>
      <c r="M143" s="67"/>
      <c r="N143" s="67"/>
      <c r="O143" s="67"/>
      <c r="P143" s="67"/>
      <c r="Q143" s="67"/>
      <c r="R143" s="67"/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72">
        <f t="shared" si="13"/>
        <v>0</v>
      </c>
      <c r="AO143" s="68"/>
      <c r="AP143" s="67"/>
      <c r="AQ143" s="70"/>
      <c r="AR143" s="71"/>
      <c r="AS143" s="69"/>
      <c r="AT143" s="72"/>
      <c r="AU143" s="68"/>
      <c r="AV143" s="69"/>
      <c r="AW143" s="69"/>
      <c r="AX143" s="69"/>
      <c r="AY143" s="69"/>
      <c r="AZ143" s="70"/>
      <c r="BA143" s="71"/>
      <c r="BB143" s="70"/>
      <c r="BC143" s="195">
        <f t="shared" si="10"/>
        <v>0</v>
      </c>
    </row>
    <row r="144" spans="1:55" s="1" customFormat="1" ht="16.5" thickBot="1" x14ac:dyDescent="0.3">
      <c r="A144" s="94">
        <v>27</v>
      </c>
      <c r="B144" s="94">
        <v>790068</v>
      </c>
      <c r="C144" s="23" t="s">
        <v>61</v>
      </c>
      <c r="D144" s="77"/>
      <c r="E144" s="55"/>
      <c r="F144" s="55"/>
      <c r="G144" s="55"/>
      <c r="H144" s="55"/>
      <c r="I144" s="55"/>
      <c r="J144" s="55"/>
      <c r="K144" s="55"/>
      <c r="L144" s="55"/>
      <c r="M144" s="55"/>
      <c r="N144" s="55"/>
      <c r="O144" s="55"/>
      <c r="P144" s="55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>
        <v>39070</v>
      </c>
      <c r="AM144" s="55">
        <v>8045397</v>
      </c>
      <c r="AN144" s="60">
        <f t="shared" si="13"/>
        <v>8045397</v>
      </c>
      <c r="AO144" s="56"/>
      <c r="AP144" s="55"/>
      <c r="AQ144" s="58"/>
      <c r="AR144" s="59"/>
      <c r="AS144" s="57"/>
      <c r="AT144" s="60"/>
      <c r="AU144" s="56"/>
      <c r="AV144" s="57"/>
      <c r="AW144" s="57"/>
      <c r="AX144" s="57"/>
      <c r="AY144" s="57"/>
      <c r="AZ144" s="58"/>
      <c r="BA144" s="59"/>
      <c r="BB144" s="58"/>
      <c r="BC144" s="191">
        <f t="shared" si="10"/>
        <v>8045397</v>
      </c>
    </row>
    <row r="145" spans="1:55" s="1" customFormat="1" ht="16.5" thickBot="1" x14ac:dyDescent="0.3">
      <c r="A145" s="260">
        <v>28</v>
      </c>
      <c r="B145" s="260">
        <v>790070</v>
      </c>
      <c r="C145" s="24" t="s">
        <v>124</v>
      </c>
      <c r="D145" s="76"/>
      <c r="E145" s="67"/>
      <c r="F145" s="67"/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72">
        <f t="shared" si="13"/>
        <v>0</v>
      </c>
      <c r="AO145" s="68"/>
      <c r="AP145" s="67"/>
      <c r="AQ145" s="70"/>
      <c r="AR145" s="71"/>
      <c r="AS145" s="69"/>
      <c r="AT145" s="72"/>
      <c r="AU145" s="68"/>
      <c r="AV145" s="69"/>
      <c r="AW145" s="69"/>
      <c r="AX145" s="69"/>
      <c r="AY145" s="69"/>
      <c r="AZ145" s="70"/>
      <c r="BA145" s="71"/>
      <c r="BB145" s="70"/>
      <c r="BC145" s="195">
        <f t="shared" si="10"/>
        <v>0</v>
      </c>
    </row>
    <row r="146" spans="1:55" s="1" customFormat="1" ht="16.5" thickBot="1" x14ac:dyDescent="0.3">
      <c r="A146" s="94">
        <v>29</v>
      </c>
      <c r="B146" s="210">
        <v>790071</v>
      </c>
      <c r="C146" s="201" t="s">
        <v>107</v>
      </c>
      <c r="D146" s="77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>
        <v>18673</v>
      </c>
      <c r="AM146" s="55">
        <v>5703026</v>
      </c>
      <c r="AN146" s="60">
        <f t="shared" si="13"/>
        <v>5703026</v>
      </c>
      <c r="AO146" s="56"/>
      <c r="AP146" s="55"/>
      <c r="AQ146" s="58"/>
      <c r="AR146" s="59"/>
      <c r="AS146" s="57"/>
      <c r="AT146" s="60"/>
      <c r="AU146" s="56"/>
      <c r="AV146" s="57"/>
      <c r="AW146" s="57"/>
      <c r="AX146" s="57"/>
      <c r="AY146" s="57"/>
      <c r="AZ146" s="58"/>
      <c r="BA146" s="59"/>
      <c r="BB146" s="58"/>
      <c r="BC146" s="191">
        <f t="shared" si="10"/>
        <v>5703026</v>
      </c>
    </row>
    <row r="147" spans="1:55" s="1" customFormat="1" ht="16.5" thickBot="1" x14ac:dyDescent="0.3">
      <c r="A147" s="260">
        <v>30</v>
      </c>
      <c r="B147" s="211">
        <v>790072</v>
      </c>
      <c r="C147" s="200" t="s">
        <v>88</v>
      </c>
      <c r="D147" s="76"/>
      <c r="E147" s="67"/>
      <c r="F147" s="67"/>
      <c r="G147" s="67"/>
      <c r="H147" s="67"/>
      <c r="I147" s="67"/>
      <c r="J147" s="67"/>
      <c r="K147" s="67"/>
      <c r="L147" s="67"/>
      <c r="M147" s="67"/>
      <c r="N147" s="67"/>
      <c r="O147" s="67"/>
      <c r="P147" s="67"/>
      <c r="Q147" s="67"/>
      <c r="R147" s="67"/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72">
        <f t="shared" si="13"/>
        <v>0</v>
      </c>
      <c r="AO147" s="68"/>
      <c r="AP147" s="67"/>
      <c r="AQ147" s="70"/>
      <c r="AR147" s="71"/>
      <c r="AS147" s="69"/>
      <c r="AT147" s="72"/>
      <c r="AU147" s="68"/>
      <c r="AV147" s="69"/>
      <c r="AW147" s="69"/>
      <c r="AX147" s="69"/>
      <c r="AY147" s="69"/>
      <c r="AZ147" s="70"/>
      <c r="BA147" s="71"/>
      <c r="BB147" s="70"/>
      <c r="BC147" s="195">
        <f t="shared" si="10"/>
        <v>0</v>
      </c>
    </row>
    <row r="148" spans="1:55" s="1" customFormat="1" ht="16.5" thickBot="1" x14ac:dyDescent="0.3">
      <c r="A148" s="94">
        <v>31</v>
      </c>
      <c r="B148" s="210">
        <v>790074</v>
      </c>
      <c r="C148" s="23" t="s">
        <v>96</v>
      </c>
      <c r="D148" s="77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60">
        <f t="shared" si="13"/>
        <v>0</v>
      </c>
      <c r="AO148" s="56"/>
      <c r="AP148" s="55"/>
      <c r="AQ148" s="58"/>
      <c r="AR148" s="59"/>
      <c r="AS148" s="57"/>
      <c r="AT148" s="60"/>
      <c r="AU148" s="56"/>
      <c r="AV148" s="57"/>
      <c r="AW148" s="57"/>
      <c r="AX148" s="57"/>
      <c r="AY148" s="57"/>
      <c r="AZ148" s="58"/>
      <c r="BA148" s="59"/>
      <c r="BB148" s="58"/>
      <c r="BC148" s="191">
        <f t="shared" si="10"/>
        <v>0</v>
      </c>
    </row>
    <row r="149" spans="1:55" s="1" customFormat="1" ht="16.5" thickBot="1" x14ac:dyDescent="0.3">
      <c r="A149" s="260">
        <v>32</v>
      </c>
      <c r="B149" s="262">
        <v>790075</v>
      </c>
      <c r="C149" s="24" t="s">
        <v>99</v>
      </c>
      <c r="D149" s="76"/>
      <c r="E149" s="67"/>
      <c r="F149" s="67"/>
      <c r="G149" s="67"/>
      <c r="H149" s="67"/>
      <c r="I149" s="67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72"/>
      <c r="AO149" s="68"/>
      <c r="AP149" s="67"/>
      <c r="AQ149" s="70"/>
      <c r="AR149" s="71">
        <v>216</v>
      </c>
      <c r="AS149" s="69"/>
      <c r="AT149" s="72">
        <v>8858210</v>
      </c>
      <c r="AU149" s="68"/>
      <c r="AV149" s="69"/>
      <c r="AW149" s="69"/>
      <c r="AX149" s="69"/>
      <c r="AY149" s="69"/>
      <c r="AZ149" s="70"/>
      <c r="BA149" s="71"/>
      <c r="BB149" s="70"/>
      <c r="BC149" s="195">
        <f t="shared" si="10"/>
        <v>8858210</v>
      </c>
    </row>
    <row r="150" spans="1:55" s="1" customFormat="1" ht="16.5" thickBot="1" x14ac:dyDescent="0.3">
      <c r="A150" s="94">
        <v>33</v>
      </c>
      <c r="B150" s="210">
        <v>790078</v>
      </c>
      <c r="C150" s="201" t="s">
        <v>102</v>
      </c>
      <c r="D150" s="77"/>
      <c r="E150" s="55"/>
      <c r="F150" s="55"/>
      <c r="G150" s="55"/>
      <c r="H150" s="55"/>
      <c r="I150" s="55"/>
      <c r="J150" s="55"/>
      <c r="K150" s="55"/>
      <c r="L150" s="55"/>
      <c r="M150" s="55"/>
      <c r="N150" s="55"/>
      <c r="O150" s="55"/>
      <c r="P150" s="55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60">
        <f t="shared" si="13"/>
        <v>0</v>
      </c>
      <c r="AO150" s="56"/>
      <c r="AP150" s="55"/>
      <c r="AQ150" s="58"/>
      <c r="AR150" s="59"/>
      <c r="AS150" s="57"/>
      <c r="AT150" s="60"/>
      <c r="AU150" s="56"/>
      <c r="AV150" s="57"/>
      <c r="AW150" s="57"/>
      <c r="AX150" s="57"/>
      <c r="AY150" s="57"/>
      <c r="AZ150" s="58"/>
      <c r="BA150" s="59"/>
      <c r="BB150" s="58"/>
      <c r="BC150" s="191">
        <f t="shared" si="10"/>
        <v>0</v>
      </c>
    </row>
    <row r="151" spans="1:55" s="1" customFormat="1" ht="16.5" thickBot="1" x14ac:dyDescent="0.3">
      <c r="A151" s="260">
        <v>34</v>
      </c>
      <c r="B151" s="262">
        <v>790083</v>
      </c>
      <c r="C151" s="24" t="s">
        <v>125</v>
      </c>
      <c r="D151" s="76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72">
        <f t="shared" si="13"/>
        <v>0</v>
      </c>
      <c r="AO151" s="68"/>
      <c r="AP151" s="67"/>
      <c r="AQ151" s="70"/>
      <c r="AR151" s="71"/>
      <c r="AS151" s="69"/>
      <c r="AT151" s="72"/>
      <c r="AU151" s="68"/>
      <c r="AV151" s="69"/>
      <c r="AW151" s="69"/>
      <c r="AX151" s="69"/>
      <c r="AY151" s="69"/>
      <c r="AZ151" s="70"/>
      <c r="BA151" s="71"/>
      <c r="BB151" s="70"/>
      <c r="BC151" s="195">
        <f t="shared" si="10"/>
        <v>0</v>
      </c>
    </row>
    <row r="152" spans="1:55" s="1" customFormat="1" ht="16.5" thickBot="1" x14ac:dyDescent="0.3">
      <c r="A152" s="94">
        <v>35</v>
      </c>
      <c r="B152" s="209">
        <v>790087</v>
      </c>
      <c r="C152" s="23" t="s">
        <v>117</v>
      </c>
      <c r="D152" s="77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60">
        <f t="shared" si="13"/>
        <v>0</v>
      </c>
      <c r="AO152" s="56"/>
      <c r="AP152" s="55"/>
      <c r="AQ152" s="58"/>
      <c r="AR152" s="59"/>
      <c r="AS152" s="57"/>
      <c r="AT152" s="60"/>
      <c r="AU152" s="56"/>
      <c r="AV152" s="57"/>
      <c r="AW152" s="57"/>
      <c r="AX152" s="57"/>
      <c r="AY152" s="57"/>
      <c r="AZ152" s="58"/>
      <c r="BA152" s="59"/>
      <c r="BB152" s="58"/>
      <c r="BC152" s="191">
        <f>AN152+AQ152+AT152+AW152+BB152+AZ152</f>
        <v>0</v>
      </c>
    </row>
    <row r="153" spans="1:55" s="1" customFormat="1" x14ac:dyDescent="0.25">
      <c r="A153" s="283">
        <v>36</v>
      </c>
      <c r="B153" s="294">
        <v>790090</v>
      </c>
      <c r="C153" s="97" t="s">
        <v>118</v>
      </c>
      <c r="D153" s="75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>
        <f>521+7</f>
        <v>528</v>
      </c>
      <c r="AC153" s="28">
        <f>3236322+49765</f>
        <v>3286087</v>
      </c>
      <c r="AD153" s="28"/>
      <c r="AE153" s="28"/>
      <c r="AF153" s="28">
        <f>227+30</f>
        <v>257</v>
      </c>
      <c r="AG153" s="28">
        <f>404599+55476</f>
        <v>460075</v>
      </c>
      <c r="AH153" s="28">
        <f>232+35</f>
        <v>267</v>
      </c>
      <c r="AI153" s="28">
        <f>750915+113098</f>
        <v>864013</v>
      </c>
      <c r="AJ153" s="28"/>
      <c r="AK153" s="28"/>
      <c r="AL153" s="28"/>
      <c r="AM153" s="28"/>
      <c r="AN153" s="52">
        <f t="shared" si="13"/>
        <v>4610175</v>
      </c>
      <c r="AO153" s="47"/>
      <c r="AP153" s="28"/>
      <c r="AQ153" s="48"/>
      <c r="AR153" s="38"/>
      <c r="AS153" s="29"/>
      <c r="AT153" s="52"/>
      <c r="AU153" s="47"/>
      <c r="AV153" s="29"/>
      <c r="AW153" s="29"/>
      <c r="AX153" s="29"/>
      <c r="AY153" s="29"/>
      <c r="AZ153" s="48"/>
      <c r="BA153" s="38"/>
      <c r="BB153" s="48"/>
      <c r="BC153" s="192">
        <f t="shared" ref="BC153:BC158" si="14">AN153+AQ153+AT153+AW153+BB153+AZ153</f>
        <v>4610175</v>
      </c>
    </row>
    <row r="154" spans="1:55" s="1" customFormat="1" ht="32.25" thickBot="1" x14ac:dyDescent="0.3">
      <c r="A154" s="283"/>
      <c r="B154" s="294"/>
      <c r="C154" s="21" t="s">
        <v>177</v>
      </c>
      <c r="D154" s="74">
        <v>752</v>
      </c>
      <c r="E154" s="61">
        <v>733960</v>
      </c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6">
        <f t="shared" si="13"/>
        <v>733960</v>
      </c>
      <c r="AO154" s="62"/>
      <c r="AP154" s="61"/>
      <c r="AQ154" s="64"/>
      <c r="AR154" s="65"/>
      <c r="AS154" s="63"/>
      <c r="AT154" s="66"/>
      <c r="AU154" s="62"/>
      <c r="AV154" s="63"/>
      <c r="AW154" s="63"/>
      <c r="AX154" s="63"/>
      <c r="AY154" s="63"/>
      <c r="AZ154" s="64"/>
      <c r="BA154" s="65"/>
      <c r="BB154" s="64"/>
      <c r="BC154" s="195">
        <f t="shared" si="14"/>
        <v>733960</v>
      </c>
    </row>
    <row r="155" spans="1:55" s="1" customFormat="1" ht="16.5" thickBot="1" x14ac:dyDescent="0.3">
      <c r="A155" s="94">
        <v>37</v>
      </c>
      <c r="B155" s="209">
        <v>790093</v>
      </c>
      <c r="C155" s="23" t="s">
        <v>127</v>
      </c>
      <c r="D155" s="77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60">
        <f t="shared" si="13"/>
        <v>0</v>
      </c>
      <c r="AO155" s="56"/>
      <c r="AP155" s="55"/>
      <c r="AQ155" s="58"/>
      <c r="AR155" s="59"/>
      <c r="AS155" s="57"/>
      <c r="AT155" s="60"/>
      <c r="AU155" s="56"/>
      <c r="AV155" s="57"/>
      <c r="AW155" s="57"/>
      <c r="AX155" s="57"/>
      <c r="AY155" s="57"/>
      <c r="AZ155" s="58"/>
      <c r="BA155" s="59"/>
      <c r="BB155" s="58"/>
      <c r="BC155" s="191">
        <f t="shared" si="14"/>
        <v>0</v>
      </c>
    </row>
    <row r="156" spans="1:55" s="1" customFormat="1" ht="16.5" thickBot="1" x14ac:dyDescent="0.3">
      <c r="A156" s="260">
        <v>38</v>
      </c>
      <c r="B156" s="211">
        <v>790094</v>
      </c>
      <c r="C156" s="181" t="s">
        <v>172</v>
      </c>
      <c r="D156" s="76"/>
      <c r="E156" s="67"/>
      <c r="F156" s="67"/>
      <c r="G156" s="67"/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72">
        <f t="shared" si="13"/>
        <v>0</v>
      </c>
      <c r="AO156" s="68"/>
      <c r="AP156" s="67"/>
      <c r="AQ156" s="70"/>
      <c r="AR156" s="71"/>
      <c r="AS156" s="69"/>
      <c r="AT156" s="72"/>
      <c r="AU156" s="68"/>
      <c r="AV156" s="69"/>
      <c r="AW156" s="69"/>
      <c r="AX156" s="69"/>
      <c r="AY156" s="69"/>
      <c r="AZ156" s="70"/>
      <c r="BA156" s="71"/>
      <c r="BB156" s="70"/>
      <c r="BC156" s="195">
        <f t="shared" si="14"/>
        <v>0</v>
      </c>
    </row>
    <row r="157" spans="1:55" s="1" customFormat="1" ht="16.5" thickBot="1" x14ac:dyDescent="0.3">
      <c r="A157" s="94">
        <v>39</v>
      </c>
      <c r="B157" s="209">
        <v>790095</v>
      </c>
      <c r="C157" s="180" t="s">
        <v>173</v>
      </c>
      <c r="D157" s="77"/>
      <c r="E157" s="55"/>
      <c r="F157" s="55"/>
      <c r="G157" s="55"/>
      <c r="H157" s="55"/>
      <c r="I157" s="55"/>
      <c r="J157" s="55"/>
      <c r="K157" s="55"/>
      <c r="L157" s="55"/>
      <c r="M157" s="55"/>
      <c r="N157" s="55"/>
      <c r="O157" s="55"/>
      <c r="P157" s="55"/>
      <c r="Q157" s="55"/>
      <c r="R157" s="55"/>
      <c r="S157" s="55"/>
      <c r="T157" s="55"/>
      <c r="U157" s="55"/>
      <c r="V157" s="55"/>
      <c r="W157" s="55"/>
      <c r="X157" s="55"/>
      <c r="Y157" s="55"/>
      <c r="Z157" s="55"/>
      <c r="AA157" s="55"/>
      <c r="AB157" s="55"/>
      <c r="AC157" s="55"/>
      <c r="AD157" s="55"/>
      <c r="AE157" s="55"/>
      <c r="AF157" s="55"/>
      <c r="AG157" s="55"/>
      <c r="AH157" s="55"/>
      <c r="AI157" s="55"/>
      <c r="AJ157" s="55"/>
      <c r="AK157" s="55"/>
      <c r="AL157" s="55"/>
      <c r="AM157" s="55"/>
      <c r="AN157" s="60">
        <f t="shared" si="13"/>
        <v>0</v>
      </c>
      <c r="AO157" s="56"/>
      <c r="AP157" s="55"/>
      <c r="AQ157" s="58"/>
      <c r="AR157" s="59"/>
      <c r="AS157" s="57"/>
      <c r="AT157" s="60"/>
      <c r="AU157" s="56"/>
      <c r="AV157" s="57"/>
      <c r="AW157" s="57"/>
      <c r="AX157" s="57"/>
      <c r="AY157" s="57"/>
      <c r="AZ157" s="58"/>
      <c r="BA157" s="59"/>
      <c r="BB157" s="58"/>
      <c r="BC157" s="191">
        <f t="shared" si="14"/>
        <v>0</v>
      </c>
    </row>
    <row r="158" spans="1:55" s="1" customFormat="1" ht="16.5" thickBot="1" x14ac:dyDescent="0.3">
      <c r="A158" s="260">
        <v>40</v>
      </c>
      <c r="B158" s="211">
        <v>790096</v>
      </c>
      <c r="C158" s="24" t="s">
        <v>174</v>
      </c>
      <c r="D158" s="76"/>
      <c r="E158" s="67"/>
      <c r="F158" s="67"/>
      <c r="G158" s="6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72">
        <f>E158+G158+M158+O158+Q158+S158+AA158+AC158+AE158+AG158+AI158+AK158+AM158+I158+K158+U158+W158</f>
        <v>0</v>
      </c>
      <c r="AO158" s="68"/>
      <c r="AP158" s="67"/>
      <c r="AQ158" s="70"/>
      <c r="AR158" s="71"/>
      <c r="AS158" s="69"/>
      <c r="AT158" s="72"/>
      <c r="AU158" s="68"/>
      <c r="AV158" s="69"/>
      <c r="AW158" s="69"/>
      <c r="AX158" s="69"/>
      <c r="AY158" s="69"/>
      <c r="AZ158" s="70"/>
      <c r="BA158" s="71"/>
      <c r="BB158" s="70"/>
      <c r="BC158" s="195">
        <f t="shared" si="14"/>
        <v>0</v>
      </c>
    </row>
    <row r="159" spans="1:55" s="1" customFormat="1" ht="16.5" thickBot="1" x14ac:dyDescent="0.3">
      <c r="A159" s="168"/>
      <c r="B159" s="168"/>
      <c r="C159" s="140" t="s">
        <v>5</v>
      </c>
      <c r="D159" s="123">
        <f t="shared" ref="D159:AN159" si="15">SUM(D5:D158)</f>
        <v>453833</v>
      </c>
      <c r="E159" s="124">
        <f>SUM(E5:E158)</f>
        <v>416185904.29055816</v>
      </c>
      <c r="F159" s="124">
        <f t="shared" si="15"/>
        <v>83215</v>
      </c>
      <c r="G159" s="124">
        <f t="shared" si="15"/>
        <v>235488567.86710733</v>
      </c>
      <c r="H159" s="124">
        <f t="shared" si="15"/>
        <v>57400</v>
      </c>
      <c r="I159" s="124">
        <f t="shared" si="15"/>
        <v>59839317.19842042</v>
      </c>
      <c r="J159" s="124">
        <f t="shared" si="15"/>
        <v>7639</v>
      </c>
      <c r="K159" s="124">
        <f t="shared" si="15"/>
        <v>28344310.643914036</v>
      </c>
      <c r="L159" s="124">
        <f t="shared" si="15"/>
        <v>2347</v>
      </c>
      <c r="M159" s="124">
        <f t="shared" si="15"/>
        <v>5562055</v>
      </c>
      <c r="N159" s="124">
        <f t="shared" si="15"/>
        <v>1468</v>
      </c>
      <c r="O159" s="124">
        <f t="shared" si="15"/>
        <v>8251671</v>
      </c>
      <c r="P159" s="124">
        <f t="shared" si="15"/>
        <v>1106</v>
      </c>
      <c r="Q159" s="124">
        <f t="shared" si="15"/>
        <v>2291839</v>
      </c>
      <c r="R159" s="124">
        <f t="shared" si="15"/>
        <v>1972</v>
      </c>
      <c r="S159" s="124">
        <f t="shared" si="15"/>
        <v>9315606</v>
      </c>
      <c r="T159" s="124">
        <f t="shared" si="15"/>
        <v>1190</v>
      </c>
      <c r="U159" s="124">
        <f t="shared" si="15"/>
        <v>2363176</v>
      </c>
      <c r="V159" s="124">
        <f t="shared" si="15"/>
        <v>288</v>
      </c>
      <c r="W159" s="124">
        <f t="shared" si="15"/>
        <v>538760</v>
      </c>
      <c r="X159" s="124">
        <f t="shared" si="15"/>
        <v>35772</v>
      </c>
      <c r="Y159" s="124">
        <f t="shared" si="15"/>
        <v>7533</v>
      </c>
      <c r="Z159" s="124">
        <f t="shared" si="15"/>
        <v>876</v>
      </c>
      <c r="AA159" s="124">
        <f t="shared" si="15"/>
        <v>129175606</v>
      </c>
      <c r="AB159" s="124">
        <f t="shared" si="15"/>
        <v>14678</v>
      </c>
      <c r="AC159" s="124">
        <f t="shared" si="15"/>
        <v>82773661</v>
      </c>
      <c r="AD159" s="124">
        <f t="shared" si="15"/>
        <v>2910</v>
      </c>
      <c r="AE159" s="124">
        <f t="shared" si="15"/>
        <v>6493637</v>
      </c>
      <c r="AF159" s="124">
        <f t="shared" si="15"/>
        <v>7052</v>
      </c>
      <c r="AG159" s="124">
        <f t="shared" si="15"/>
        <v>9175608</v>
      </c>
      <c r="AH159" s="124">
        <f t="shared" si="15"/>
        <v>32015</v>
      </c>
      <c r="AI159" s="124">
        <f t="shared" si="15"/>
        <v>113018830</v>
      </c>
      <c r="AJ159" s="124">
        <f t="shared" si="15"/>
        <v>86623</v>
      </c>
      <c r="AK159" s="124">
        <f t="shared" si="15"/>
        <v>128904444</v>
      </c>
      <c r="AL159" s="124">
        <f t="shared" si="15"/>
        <v>135584</v>
      </c>
      <c r="AM159" s="124">
        <f t="shared" si="15"/>
        <v>159542570</v>
      </c>
      <c r="AN159" s="219">
        <f t="shared" si="15"/>
        <v>1397265563</v>
      </c>
      <c r="AO159" s="123">
        <f>SUM(AO5:AO158)-AO6-AO7-AO8-AO115-AO122-AO133-AO13-AO14-AO66-AO67-AO78</f>
        <v>23147</v>
      </c>
      <c r="AP159" s="124">
        <f>SUM(AP5:AP158)-AP6-AP7-AP8-AP115-AP122</f>
        <v>1131</v>
      </c>
      <c r="AQ159" s="125">
        <f>SUM(AQ5:AQ158)-AQ6-AQ7-AQ8-AQ115-AQ122-AQ133-AQ13-AQ14-AQ66-AQ67-AQ78</f>
        <v>2563726948</v>
      </c>
      <c r="AR159" s="133">
        <f>SUM(AR5:AR158)-AR6-AR7-AR8-AR115-AR122</f>
        <v>8932</v>
      </c>
      <c r="AS159" s="124">
        <f>SUM(AS5:AS158)-AS6-AS7-AS8-AS115-AS122</f>
        <v>797</v>
      </c>
      <c r="AT159" s="219">
        <f>SUM(AT5:AT158)-AT6-AT7-AT8-AT115-AT122</f>
        <v>491445397</v>
      </c>
      <c r="AU159" s="123">
        <f t="shared" ref="AU159:BB159" si="16">SUM(AU5:AU158)</f>
        <v>105316</v>
      </c>
      <c r="AV159" s="124">
        <f t="shared" si="16"/>
        <v>665150</v>
      </c>
      <c r="AW159" s="124">
        <f t="shared" si="16"/>
        <v>156118032</v>
      </c>
      <c r="AX159" s="124">
        <f t="shared" si="16"/>
        <v>1289</v>
      </c>
      <c r="AY159" s="124">
        <f t="shared" si="16"/>
        <v>38614</v>
      </c>
      <c r="AZ159" s="125">
        <f t="shared" si="16"/>
        <v>11900441</v>
      </c>
      <c r="BA159" s="133">
        <f>SUM(BA5:BA158)</f>
        <v>30555</v>
      </c>
      <c r="BB159" s="125">
        <f t="shared" si="16"/>
        <v>294608899</v>
      </c>
      <c r="BC159" s="191">
        <f>SUM(BC5:BC158)-BC6-BC7-BC8-BC115-BC122-BC133-BC13-BC14-BC66-BC67-BC78</f>
        <v>4915065280</v>
      </c>
    </row>
    <row r="160" spans="1:55" s="1" customFormat="1" x14ac:dyDescent="0.25">
      <c r="A160" s="2"/>
      <c r="B160" s="2"/>
      <c r="AP160" s="89"/>
      <c r="AQ160" s="89"/>
      <c r="AU160" s="78"/>
      <c r="AV160" s="80"/>
      <c r="AW160" s="80"/>
      <c r="AX160" s="80"/>
      <c r="AY160" s="80"/>
      <c r="AZ160" s="79"/>
      <c r="BB160" s="78"/>
      <c r="BC160" s="92"/>
    </row>
    <row r="161" spans="1:55" s="1" customFormat="1" x14ac:dyDescent="0.25">
      <c r="A161" s="2"/>
      <c r="B161" s="2"/>
      <c r="AV161" s="80"/>
      <c r="AW161" s="7"/>
      <c r="AX161" s="7"/>
      <c r="AY161" s="7"/>
      <c r="AZ161" s="79"/>
      <c r="BA161" s="154"/>
      <c r="BB161" s="91"/>
      <c r="BC161" s="128"/>
    </row>
    <row r="162" spans="1:55" s="1" customFormat="1" x14ac:dyDescent="0.25">
      <c r="A162" s="6"/>
      <c r="B162" s="6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8"/>
      <c r="BA162" s="128"/>
      <c r="BB162" s="8"/>
      <c r="BC162" s="7"/>
    </row>
    <row r="163" spans="1:55" s="1" customFormat="1" x14ac:dyDescent="0.25">
      <c r="A163" s="6"/>
      <c r="B163" s="6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8"/>
      <c r="BC163" s="7"/>
    </row>
    <row r="164" spans="1:55" s="152" customFormat="1" x14ac:dyDescent="0.25">
      <c r="A164" s="6"/>
      <c r="B164" s="6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8"/>
      <c r="BC164" s="7"/>
    </row>
    <row r="165" spans="1:55" s="152" customFormat="1" x14ac:dyDescent="0.25">
      <c r="A165" s="6"/>
      <c r="B165" s="6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8"/>
      <c r="BC165" s="7"/>
    </row>
    <row r="166" spans="1:55" s="152" customFormat="1" x14ac:dyDescent="0.25">
      <c r="A166" s="6"/>
      <c r="B166" s="6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8"/>
      <c r="BC166" s="7"/>
    </row>
    <row r="167" spans="1:55" s="1" customFormat="1" x14ac:dyDescent="0.25">
      <c r="A167" s="6"/>
      <c r="B167" s="6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8"/>
      <c r="BC167" s="128"/>
    </row>
    <row r="168" spans="1:55" s="1" customFormat="1" x14ac:dyDescent="0.25">
      <c r="A168" s="6"/>
      <c r="B168" s="6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8"/>
      <c r="BC168" s="7"/>
    </row>
    <row r="169" spans="1:55" s="1" customFormat="1" x14ac:dyDescent="0.25">
      <c r="A169" s="6"/>
      <c r="B169" s="6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8"/>
      <c r="BC169" s="7"/>
    </row>
    <row r="170" spans="1:55" s="1" customFormat="1" x14ac:dyDescent="0.25">
      <c r="A170" s="6"/>
      <c r="B170" s="6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8"/>
      <c r="BC170" s="7"/>
    </row>
    <row r="171" spans="1:55" s="1" customFormat="1" x14ac:dyDescent="0.25">
      <c r="A171" s="6"/>
      <c r="B171" s="6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8"/>
      <c r="BC171" s="7"/>
    </row>
    <row r="172" spans="1:55" s="1" customFormat="1" x14ac:dyDescent="0.25">
      <c r="A172" s="6"/>
      <c r="B172" s="6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8"/>
      <c r="BC172" s="7"/>
    </row>
    <row r="173" spans="1:55" s="1" customFormat="1" x14ac:dyDescent="0.25">
      <c r="A173" s="6"/>
      <c r="B173" s="6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8"/>
      <c r="BC173" s="7"/>
    </row>
    <row r="174" spans="1:55" s="1" customFormat="1" x14ac:dyDescent="0.25">
      <c r="A174" s="6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8"/>
      <c r="BC174" s="7"/>
    </row>
    <row r="176" spans="1:55" x14ac:dyDescent="0.25">
      <c r="BB176" s="7"/>
    </row>
    <row r="177" spans="1:54" x14ac:dyDescent="0.25">
      <c r="A177" s="7"/>
      <c r="B177" s="7"/>
      <c r="BB177" s="7"/>
    </row>
    <row r="178" spans="1:54" x14ac:dyDescent="0.25">
      <c r="A178" s="7"/>
      <c r="B178" s="7"/>
      <c r="BB178" s="7"/>
    </row>
    <row r="179" spans="1:54" x14ac:dyDescent="0.25">
      <c r="A179" s="7"/>
      <c r="B179" s="7"/>
      <c r="BB179" s="7"/>
    </row>
    <row r="180" spans="1:54" x14ac:dyDescent="0.25">
      <c r="A180" s="7"/>
      <c r="B180" s="7"/>
      <c r="BB180" s="7"/>
    </row>
    <row r="181" spans="1:54" x14ac:dyDescent="0.25">
      <c r="A181" s="7"/>
      <c r="B181" s="7"/>
      <c r="BB181" s="7"/>
    </row>
    <row r="182" spans="1:54" x14ac:dyDescent="0.25">
      <c r="A182" s="7"/>
      <c r="B182" s="7"/>
      <c r="BB182" s="7"/>
    </row>
    <row r="183" spans="1:54" x14ac:dyDescent="0.25">
      <c r="A183" s="7"/>
      <c r="B183" s="7"/>
      <c r="BB183" s="7"/>
    </row>
    <row r="184" spans="1:54" x14ac:dyDescent="0.25">
      <c r="A184" s="7"/>
      <c r="B184" s="7"/>
      <c r="BB184" s="7"/>
    </row>
    <row r="185" spans="1:54" x14ac:dyDescent="0.25">
      <c r="A185" s="7"/>
      <c r="B185" s="7"/>
      <c r="BB185" s="7"/>
    </row>
    <row r="186" spans="1:54" x14ac:dyDescent="0.25">
      <c r="A186" s="7"/>
      <c r="B186" s="7"/>
      <c r="BB186" s="7"/>
    </row>
    <row r="187" spans="1:54" x14ac:dyDescent="0.25">
      <c r="A187" s="7"/>
      <c r="B187" s="7"/>
      <c r="BB187" s="7"/>
    </row>
    <row r="188" spans="1:54" x14ac:dyDescent="0.25">
      <c r="A188" s="7"/>
      <c r="B188" s="7"/>
      <c r="BB188" s="7"/>
    </row>
    <row r="189" spans="1:54" x14ac:dyDescent="0.25">
      <c r="A189" s="7"/>
      <c r="B189" s="7"/>
      <c r="BB189" s="7"/>
    </row>
    <row r="190" spans="1:54" x14ac:dyDescent="0.25">
      <c r="A190" s="7"/>
      <c r="B190" s="7"/>
      <c r="BB190" s="7"/>
    </row>
    <row r="191" spans="1:54" x14ac:dyDescent="0.25">
      <c r="A191" s="7"/>
      <c r="B191" s="7"/>
      <c r="BB191" s="7"/>
    </row>
    <row r="192" spans="1:54" x14ac:dyDescent="0.25">
      <c r="A192" s="7"/>
      <c r="B192" s="7"/>
      <c r="BB192" s="7"/>
    </row>
    <row r="193" spans="1:54" x14ac:dyDescent="0.25">
      <c r="A193" s="7"/>
      <c r="B193" s="7"/>
    </row>
    <row r="200" spans="1:54" x14ac:dyDescent="0.25">
      <c r="BB200" s="7"/>
    </row>
    <row r="201" spans="1:54" x14ac:dyDescent="0.25">
      <c r="A201" s="7"/>
      <c r="B201" s="7"/>
      <c r="BB201" s="7"/>
    </row>
    <row r="202" spans="1:54" x14ac:dyDescent="0.25">
      <c r="A202" s="7"/>
      <c r="B202" s="7"/>
      <c r="BB202" s="7"/>
    </row>
    <row r="203" spans="1:54" x14ac:dyDescent="0.25">
      <c r="A203" s="7"/>
      <c r="B203" s="7"/>
      <c r="BB203" s="7"/>
    </row>
    <row r="204" spans="1:54" x14ac:dyDescent="0.25">
      <c r="A204" s="7"/>
      <c r="B204" s="7"/>
      <c r="BB204" s="7"/>
    </row>
    <row r="205" spans="1:54" x14ac:dyDescent="0.25">
      <c r="A205" s="7"/>
      <c r="B205" s="7"/>
      <c r="BB205" s="7"/>
    </row>
    <row r="206" spans="1:54" x14ac:dyDescent="0.25">
      <c r="A206" s="7"/>
      <c r="B206" s="7"/>
      <c r="BB206" s="7"/>
    </row>
    <row r="207" spans="1:54" x14ac:dyDescent="0.25">
      <c r="A207" s="7"/>
      <c r="B207" s="7"/>
      <c r="BB207" s="7"/>
    </row>
    <row r="208" spans="1:54" x14ac:dyDescent="0.25">
      <c r="A208" s="7"/>
      <c r="B208" s="7"/>
      <c r="BB208" s="7"/>
    </row>
    <row r="209" spans="1:54" x14ac:dyDescent="0.25">
      <c r="A209" s="7"/>
      <c r="B209" s="7"/>
      <c r="BB209" s="7"/>
    </row>
    <row r="210" spans="1:54" x14ac:dyDescent="0.25">
      <c r="A210" s="7"/>
      <c r="B210" s="7"/>
      <c r="BB210" s="7"/>
    </row>
    <row r="211" spans="1:54" x14ac:dyDescent="0.25">
      <c r="A211" s="7"/>
      <c r="B211" s="7"/>
      <c r="BB211" s="7"/>
    </row>
    <row r="212" spans="1:54" x14ac:dyDescent="0.25">
      <c r="A212" s="7"/>
      <c r="B212" s="7"/>
      <c r="BB212" s="7"/>
    </row>
    <row r="213" spans="1:54" x14ac:dyDescent="0.25">
      <c r="A213" s="7"/>
      <c r="B213" s="7"/>
      <c r="BB213" s="7"/>
    </row>
    <row r="214" spans="1:54" x14ac:dyDescent="0.25">
      <c r="A214" s="7"/>
      <c r="B214" s="7"/>
      <c r="BB214" s="7"/>
    </row>
    <row r="215" spans="1:54" x14ac:dyDescent="0.25">
      <c r="A215" s="7"/>
      <c r="B215" s="7"/>
      <c r="BB215" s="7"/>
    </row>
    <row r="216" spans="1:54" x14ac:dyDescent="0.25">
      <c r="A216" s="7"/>
      <c r="B216" s="7"/>
      <c r="BB216" s="7"/>
    </row>
    <row r="217" spans="1:54" x14ac:dyDescent="0.25">
      <c r="A217" s="7"/>
      <c r="B217" s="7"/>
      <c r="BB217" s="7"/>
    </row>
    <row r="218" spans="1:54" x14ac:dyDescent="0.25">
      <c r="A218" s="7"/>
      <c r="B218" s="7"/>
      <c r="BB218" s="7"/>
    </row>
    <row r="219" spans="1:54" x14ac:dyDescent="0.25">
      <c r="A219" s="7"/>
      <c r="B219" s="7"/>
      <c r="BB219" s="7"/>
    </row>
    <row r="220" spans="1:54" x14ac:dyDescent="0.25">
      <c r="A220" s="7"/>
      <c r="B220" s="7"/>
      <c r="BB220" s="7"/>
    </row>
    <row r="221" spans="1:54" x14ac:dyDescent="0.25">
      <c r="A221" s="7"/>
      <c r="B221" s="7"/>
      <c r="BB221" s="7"/>
    </row>
    <row r="222" spans="1:54" x14ac:dyDescent="0.25">
      <c r="A222" s="7"/>
      <c r="B222" s="7"/>
      <c r="BB222" s="7"/>
    </row>
    <row r="223" spans="1:54" x14ac:dyDescent="0.25">
      <c r="A223" s="7"/>
      <c r="B223" s="7"/>
      <c r="BB223" s="7"/>
    </row>
    <row r="224" spans="1:54" x14ac:dyDescent="0.25">
      <c r="A224" s="7"/>
      <c r="B224" s="7"/>
      <c r="BB224" s="7"/>
    </row>
    <row r="225" spans="1:54" x14ac:dyDescent="0.25">
      <c r="A225" s="7"/>
      <c r="B225" s="7"/>
      <c r="BB225" s="7"/>
    </row>
    <row r="226" spans="1:54" x14ac:dyDescent="0.25">
      <c r="A226" s="7"/>
      <c r="B226" s="7"/>
      <c r="BB226" s="7"/>
    </row>
    <row r="227" spans="1:54" x14ac:dyDescent="0.25">
      <c r="A227" s="7"/>
      <c r="B227" s="7"/>
      <c r="BB227" s="7"/>
    </row>
    <row r="228" spans="1:54" x14ac:dyDescent="0.25">
      <c r="A228" s="7"/>
      <c r="B228" s="7"/>
      <c r="BB228" s="7"/>
    </row>
    <row r="229" spans="1:54" x14ac:dyDescent="0.25">
      <c r="A229" s="7"/>
      <c r="B229" s="7"/>
      <c r="BB229" s="7"/>
    </row>
    <row r="230" spans="1:54" x14ac:dyDescent="0.25">
      <c r="A230" s="7"/>
      <c r="B230" s="7"/>
      <c r="BB230" s="7"/>
    </row>
    <row r="231" spans="1:54" x14ac:dyDescent="0.25">
      <c r="A231" s="7"/>
      <c r="B231" s="7"/>
      <c r="BB231" s="7"/>
    </row>
    <row r="232" spans="1:54" x14ac:dyDescent="0.25">
      <c r="A232" s="7"/>
      <c r="B232" s="7"/>
      <c r="BB232" s="7"/>
    </row>
    <row r="233" spans="1:54" x14ac:dyDescent="0.25">
      <c r="A233" s="7"/>
      <c r="B233" s="7"/>
      <c r="BB233" s="7"/>
    </row>
    <row r="234" spans="1:54" x14ac:dyDescent="0.25">
      <c r="A234" s="7"/>
      <c r="B234" s="7"/>
      <c r="BB234" s="7"/>
    </row>
    <row r="235" spans="1:54" x14ac:dyDescent="0.25">
      <c r="A235" s="7"/>
      <c r="B235" s="7"/>
      <c r="BB235" s="7"/>
    </row>
    <row r="236" spans="1:54" x14ac:dyDescent="0.25">
      <c r="A236" s="7"/>
      <c r="B236" s="7"/>
      <c r="BB236" s="7"/>
    </row>
    <row r="237" spans="1:54" x14ac:dyDescent="0.25">
      <c r="A237" s="7"/>
      <c r="B237" s="7"/>
      <c r="BB237" s="7"/>
    </row>
    <row r="238" spans="1:54" x14ac:dyDescent="0.25">
      <c r="A238" s="7"/>
      <c r="B238" s="7"/>
      <c r="BB238" s="7"/>
    </row>
    <row r="239" spans="1:54" x14ac:dyDescent="0.25">
      <c r="A239" s="7"/>
      <c r="B239" s="7"/>
      <c r="BB239" s="7"/>
    </row>
    <row r="240" spans="1:54" x14ac:dyDescent="0.25">
      <c r="A240" s="7"/>
      <c r="B240" s="7"/>
      <c r="BB240" s="7"/>
    </row>
    <row r="241" spans="1:54" x14ac:dyDescent="0.25">
      <c r="A241" s="7"/>
      <c r="B241" s="7"/>
      <c r="BB241" s="7"/>
    </row>
    <row r="242" spans="1:54" x14ac:dyDescent="0.25">
      <c r="A242" s="7"/>
      <c r="B242" s="7"/>
      <c r="BB242" s="7"/>
    </row>
    <row r="243" spans="1:54" x14ac:dyDescent="0.25">
      <c r="A243" s="7"/>
      <c r="B243" s="7"/>
    </row>
    <row r="245" spans="1:54" x14ac:dyDescent="0.25">
      <c r="BB245" s="7"/>
    </row>
    <row r="246" spans="1:54" x14ac:dyDescent="0.25">
      <c r="A246" s="7"/>
      <c r="B246" s="7"/>
      <c r="BB246" s="7"/>
    </row>
    <row r="247" spans="1:54" x14ac:dyDescent="0.25">
      <c r="A247" s="7"/>
      <c r="B247" s="7"/>
      <c r="BB247" s="7"/>
    </row>
    <row r="248" spans="1:54" x14ac:dyDescent="0.25">
      <c r="A248" s="7"/>
      <c r="B248" s="7"/>
      <c r="BB248" s="7"/>
    </row>
    <row r="249" spans="1:54" x14ac:dyDescent="0.25">
      <c r="A249" s="7"/>
      <c r="B249" s="7"/>
      <c r="BB249" s="7"/>
    </row>
    <row r="250" spans="1:54" x14ac:dyDescent="0.25">
      <c r="A250" s="7"/>
      <c r="B250" s="7"/>
      <c r="BB250" s="7"/>
    </row>
    <row r="251" spans="1:54" x14ac:dyDescent="0.25">
      <c r="A251" s="7"/>
      <c r="B251" s="7"/>
      <c r="BB251" s="7"/>
    </row>
    <row r="252" spans="1:54" x14ac:dyDescent="0.25">
      <c r="A252" s="7"/>
      <c r="B252" s="7"/>
      <c r="BB252" s="7"/>
    </row>
    <row r="253" spans="1:54" x14ac:dyDescent="0.25">
      <c r="A253" s="7"/>
      <c r="B253" s="7"/>
      <c r="BB253" s="7"/>
    </row>
    <row r="254" spans="1:54" x14ac:dyDescent="0.25">
      <c r="A254" s="7"/>
      <c r="B254" s="7"/>
      <c r="BB254" s="7"/>
    </row>
    <row r="255" spans="1:54" x14ac:dyDescent="0.25">
      <c r="A255" s="7"/>
      <c r="B255" s="7"/>
      <c r="BB255" s="7"/>
    </row>
    <row r="256" spans="1:54" x14ac:dyDescent="0.25">
      <c r="A256" s="7"/>
      <c r="B256" s="7"/>
      <c r="BB256" s="7"/>
    </row>
    <row r="257" spans="1:54" x14ac:dyDescent="0.25">
      <c r="A257" s="7"/>
      <c r="B257" s="7"/>
      <c r="BB257" s="7"/>
    </row>
    <row r="258" spans="1:54" x14ac:dyDescent="0.25">
      <c r="A258" s="7"/>
      <c r="B258" s="7"/>
      <c r="BB258" s="7"/>
    </row>
    <row r="259" spans="1:54" x14ac:dyDescent="0.25">
      <c r="A259" s="7"/>
      <c r="B259" s="7"/>
      <c r="BB259" s="7"/>
    </row>
    <row r="260" spans="1:54" x14ac:dyDescent="0.25">
      <c r="A260" s="7"/>
      <c r="B260" s="7"/>
      <c r="BB260" s="7"/>
    </row>
    <row r="261" spans="1:54" x14ac:dyDescent="0.25">
      <c r="A261" s="7"/>
      <c r="B261" s="7"/>
      <c r="BB261" s="7"/>
    </row>
    <row r="262" spans="1:54" x14ac:dyDescent="0.25">
      <c r="A262" s="7"/>
      <c r="B262" s="7"/>
      <c r="BB262" s="7"/>
    </row>
    <row r="263" spans="1:54" x14ac:dyDescent="0.25">
      <c r="A263" s="7"/>
      <c r="B263" s="7"/>
      <c r="BB263" s="7"/>
    </row>
    <row r="264" spans="1:54" x14ac:dyDescent="0.25">
      <c r="A264" s="7"/>
      <c r="B264" s="7"/>
      <c r="BB264" s="7"/>
    </row>
    <row r="265" spans="1:54" x14ac:dyDescent="0.25">
      <c r="A265" s="7"/>
      <c r="B265" s="7"/>
      <c r="BB265" s="7"/>
    </row>
    <row r="266" spans="1:54" x14ac:dyDescent="0.25">
      <c r="A266" s="7"/>
      <c r="B266" s="7"/>
      <c r="BB266" s="7"/>
    </row>
    <row r="267" spans="1:54" x14ac:dyDescent="0.25">
      <c r="A267" s="7"/>
      <c r="B267" s="7"/>
      <c r="BB267" s="7"/>
    </row>
    <row r="268" spans="1:54" x14ac:dyDescent="0.25">
      <c r="A268" s="7"/>
      <c r="B268" s="7"/>
      <c r="BB268" s="7"/>
    </row>
    <row r="269" spans="1:54" x14ac:dyDescent="0.25">
      <c r="A269" s="7"/>
      <c r="B269" s="7"/>
      <c r="BB269" s="7"/>
    </row>
    <row r="270" spans="1:54" x14ac:dyDescent="0.25">
      <c r="A270" s="7"/>
      <c r="B270" s="7"/>
      <c r="BB270" s="7"/>
    </row>
    <row r="271" spans="1:54" x14ac:dyDescent="0.25">
      <c r="A271" s="7"/>
      <c r="B271" s="7"/>
      <c r="BB271" s="7"/>
    </row>
    <row r="272" spans="1:54" x14ac:dyDescent="0.25">
      <c r="A272" s="7"/>
      <c r="B272" s="7"/>
      <c r="BB272" s="7"/>
    </row>
    <row r="273" spans="1:54" x14ac:dyDescent="0.25">
      <c r="A273" s="7"/>
      <c r="B273" s="7"/>
      <c r="BB273" s="7"/>
    </row>
    <row r="274" spans="1:54" x14ac:dyDescent="0.25">
      <c r="A274" s="7"/>
      <c r="B274" s="7"/>
      <c r="BB274" s="7"/>
    </row>
    <row r="275" spans="1:54" x14ac:dyDescent="0.25">
      <c r="A275" s="7"/>
      <c r="B275" s="7"/>
    </row>
  </sheetData>
  <mergeCells count="46">
    <mergeCell ref="A138:A139"/>
    <mergeCell ref="B138:B139"/>
    <mergeCell ref="A140:A141"/>
    <mergeCell ref="B140:B141"/>
    <mergeCell ref="A153:A154"/>
    <mergeCell ref="B153:B154"/>
    <mergeCell ref="A124:A125"/>
    <mergeCell ref="B124:B125"/>
    <mergeCell ref="A127:A129"/>
    <mergeCell ref="B127:B129"/>
    <mergeCell ref="A131:A135"/>
    <mergeCell ref="B131:B134"/>
    <mergeCell ref="A89:A101"/>
    <mergeCell ref="B89:B101"/>
    <mergeCell ref="A102:A112"/>
    <mergeCell ref="B102:B112"/>
    <mergeCell ref="A114:A122"/>
    <mergeCell ref="B114:B122"/>
    <mergeCell ref="A56:A64"/>
    <mergeCell ref="B56:B64"/>
    <mergeCell ref="A65:A76"/>
    <mergeCell ref="B65:B76"/>
    <mergeCell ref="A77:A88"/>
    <mergeCell ref="B77:B88"/>
    <mergeCell ref="A41:A42"/>
    <mergeCell ref="B41:B42"/>
    <mergeCell ref="A43:A48"/>
    <mergeCell ref="B43:B48"/>
    <mergeCell ref="A49:A55"/>
    <mergeCell ref="B49:B55"/>
    <mergeCell ref="A5:A28"/>
    <mergeCell ref="B5:B28"/>
    <mergeCell ref="A29:A36"/>
    <mergeCell ref="B29:B36"/>
    <mergeCell ref="A38:A40"/>
    <mergeCell ref="B38:B40"/>
    <mergeCell ref="A1:BC1"/>
    <mergeCell ref="A2:A3"/>
    <mergeCell ref="B2:B3"/>
    <mergeCell ref="C2:C3"/>
    <mergeCell ref="D2:AN2"/>
    <mergeCell ref="AO2:AQ2"/>
    <mergeCell ref="AR2:AT2"/>
    <mergeCell ref="AU2:AZ2"/>
    <mergeCell ref="BA2:BB2"/>
    <mergeCell ref="BC2:BC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D275"/>
  <sheetViews>
    <sheetView zoomScale="90" zoomScaleNormal="90" workbookViewId="0">
      <pane xSplit="3" ySplit="4" topLeftCell="AR149" activePane="bottomRight" state="frozen"/>
      <selection pane="topRight" activeCell="D1" sqref="D1"/>
      <selection pane="bottomLeft" activeCell="A5" sqref="A5"/>
      <selection pane="bottomRight" activeCell="AU184" sqref="AU184"/>
    </sheetView>
  </sheetViews>
  <sheetFormatPr defaultRowHeight="15.75" x14ac:dyDescent="0.25"/>
  <cols>
    <col min="1" max="1" width="4.7109375" style="6" customWidth="1"/>
    <col min="2" max="2" width="12.42578125" style="6" customWidth="1"/>
    <col min="3" max="3" width="66.5703125" style="7" customWidth="1"/>
    <col min="4" max="4" width="10.85546875" style="7" bestFit="1" customWidth="1"/>
    <col min="5" max="5" width="17.85546875" style="7" customWidth="1"/>
    <col min="6" max="6" width="11" style="7" bestFit="1" customWidth="1"/>
    <col min="7" max="11" width="19.42578125" style="7" customWidth="1"/>
    <col min="12" max="12" width="15.5703125" style="7" customWidth="1"/>
    <col min="13" max="13" width="16.42578125" style="7" customWidth="1"/>
    <col min="14" max="14" width="15.85546875" style="7" customWidth="1"/>
    <col min="15" max="15" width="17.140625" style="7" customWidth="1"/>
    <col min="16" max="16" width="16.28515625" style="7" customWidth="1"/>
    <col min="17" max="17" width="17.140625" style="7" customWidth="1"/>
    <col min="18" max="18" width="16.42578125" style="7" customWidth="1"/>
    <col min="19" max="23" width="17.5703125" style="7" customWidth="1"/>
    <col min="24" max="24" width="14" style="7" customWidth="1"/>
    <col min="25" max="25" width="15.7109375" style="7" customWidth="1"/>
    <col min="26" max="26" width="15.28515625" style="7" customWidth="1"/>
    <col min="27" max="37" width="19.42578125" style="7" customWidth="1"/>
    <col min="38" max="38" width="18.7109375" style="7" bestFit="1" customWidth="1"/>
    <col min="39" max="40" width="17.42578125" style="7" customWidth="1"/>
    <col min="41" max="41" width="13.5703125" style="7" customWidth="1"/>
    <col min="42" max="42" width="11" style="7" customWidth="1"/>
    <col min="43" max="43" width="17" style="7" bestFit="1" customWidth="1"/>
    <col min="44" max="44" width="13.42578125" style="7" customWidth="1"/>
    <col min="45" max="45" width="18.28515625" style="7" customWidth="1"/>
    <col min="46" max="46" width="17.140625" style="7" bestFit="1" customWidth="1"/>
    <col min="47" max="47" width="12.28515625" style="7" customWidth="1"/>
    <col min="48" max="48" width="11" style="7" bestFit="1" customWidth="1"/>
    <col min="49" max="49" width="16.5703125" style="7" customWidth="1"/>
    <col min="50" max="50" width="11" style="7" bestFit="1" customWidth="1"/>
    <col min="51" max="51" width="6.42578125" style="7" bestFit="1" customWidth="1"/>
    <col min="52" max="52" width="19.85546875" style="7" bestFit="1" customWidth="1"/>
    <col min="53" max="53" width="12.28515625" style="7" bestFit="1" customWidth="1"/>
    <col min="54" max="54" width="16.7109375" style="8" customWidth="1"/>
    <col min="55" max="55" width="18" style="7" customWidth="1"/>
    <col min="56" max="56" width="21.85546875" style="87" bestFit="1" customWidth="1"/>
    <col min="57" max="57" width="12.42578125" style="7" bestFit="1" customWidth="1"/>
    <col min="58" max="16384" width="9.140625" style="7"/>
  </cols>
  <sheetData>
    <row r="1" spans="1:56" s="1" customFormat="1" ht="21" thickBot="1" x14ac:dyDescent="0.35">
      <c r="A1" s="295" t="s">
        <v>195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  <c r="AT1" s="295"/>
      <c r="AU1" s="295"/>
      <c r="AV1" s="295"/>
      <c r="AW1" s="295"/>
      <c r="AX1" s="295"/>
      <c r="AY1" s="295"/>
      <c r="AZ1" s="295"/>
      <c r="BA1" s="295"/>
      <c r="BB1" s="295"/>
      <c r="BC1" s="295"/>
      <c r="BD1" s="86"/>
    </row>
    <row r="2" spans="1:56" s="1" customFormat="1" ht="16.5" customHeight="1" thickBot="1" x14ac:dyDescent="0.3">
      <c r="A2" s="268" t="s">
        <v>28</v>
      </c>
      <c r="B2" s="268" t="s">
        <v>113</v>
      </c>
      <c r="C2" s="282" t="s">
        <v>27</v>
      </c>
      <c r="D2" s="296" t="s">
        <v>0</v>
      </c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7"/>
      <c r="AO2" s="298" t="s">
        <v>1</v>
      </c>
      <c r="AP2" s="296"/>
      <c r="AQ2" s="297"/>
      <c r="AR2" s="298" t="s">
        <v>2</v>
      </c>
      <c r="AS2" s="296"/>
      <c r="AT2" s="297"/>
      <c r="AU2" s="298" t="s">
        <v>3</v>
      </c>
      <c r="AV2" s="296"/>
      <c r="AW2" s="296"/>
      <c r="AX2" s="296"/>
      <c r="AY2" s="296"/>
      <c r="AZ2" s="297"/>
      <c r="BA2" s="298" t="s">
        <v>4</v>
      </c>
      <c r="BB2" s="297"/>
      <c r="BC2" s="299" t="s">
        <v>5</v>
      </c>
      <c r="BD2" s="2"/>
    </row>
    <row r="3" spans="1:56" s="3" customFormat="1" ht="75" customHeight="1" thickBot="1" x14ac:dyDescent="0.25">
      <c r="A3" s="269"/>
      <c r="B3" s="269"/>
      <c r="C3" s="284"/>
      <c r="D3" s="13" t="s">
        <v>6</v>
      </c>
      <c r="E3" s="12" t="s">
        <v>89</v>
      </c>
      <c r="F3" s="12" t="s">
        <v>126</v>
      </c>
      <c r="G3" s="12" t="s">
        <v>90</v>
      </c>
      <c r="H3" s="13" t="s">
        <v>150</v>
      </c>
      <c r="I3" s="12" t="s">
        <v>149</v>
      </c>
      <c r="J3" s="12" t="s">
        <v>151</v>
      </c>
      <c r="K3" s="12" t="s">
        <v>149</v>
      </c>
      <c r="L3" s="13" t="s">
        <v>114</v>
      </c>
      <c r="M3" s="13" t="s">
        <v>115</v>
      </c>
      <c r="N3" s="13" t="s">
        <v>130</v>
      </c>
      <c r="O3" s="13" t="s">
        <v>131</v>
      </c>
      <c r="P3" s="13" t="s">
        <v>132</v>
      </c>
      <c r="Q3" s="13" t="s">
        <v>133</v>
      </c>
      <c r="R3" s="13" t="s">
        <v>134</v>
      </c>
      <c r="S3" s="13" t="s">
        <v>135</v>
      </c>
      <c r="T3" s="13" t="s">
        <v>165</v>
      </c>
      <c r="U3" s="13" t="s">
        <v>166</v>
      </c>
      <c r="V3" s="13" t="s">
        <v>167</v>
      </c>
      <c r="W3" s="13" t="s">
        <v>168</v>
      </c>
      <c r="X3" s="13" t="s">
        <v>84</v>
      </c>
      <c r="Y3" s="12" t="s">
        <v>85</v>
      </c>
      <c r="Z3" s="12" t="s">
        <v>97</v>
      </c>
      <c r="AA3" s="109" t="s">
        <v>80</v>
      </c>
      <c r="AB3" s="109" t="s">
        <v>66</v>
      </c>
      <c r="AC3" s="109" t="s">
        <v>58</v>
      </c>
      <c r="AD3" s="109" t="s">
        <v>103</v>
      </c>
      <c r="AE3" s="109" t="s">
        <v>106</v>
      </c>
      <c r="AF3" s="109" t="s">
        <v>128</v>
      </c>
      <c r="AG3" s="109" t="s">
        <v>129</v>
      </c>
      <c r="AH3" s="109" t="s">
        <v>67</v>
      </c>
      <c r="AI3" s="109" t="s">
        <v>68</v>
      </c>
      <c r="AJ3" s="109" t="s">
        <v>69</v>
      </c>
      <c r="AK3" s="109" t="s">
        <v>70</v>
      </c>
      <c r="AL3" s="109" t="s">
        <v>59</v>
      </c>
      <c r="AM3" s="109" t="s">
        <v>29</v>
      </c>
      <c r="AN3" s="110" t="s">
        <v>7</v>
      </c>
      <c r="AO3" s="111" t="s">
        <v>8</v>
      </c>
      <c r="AP3" s="109" t="s">
        <v>59</v>
      </c>
      <c r="AQ3" s="112" t="s">
        <v>7</v>
      </c>
      <c r="AR3" s="113" t="s">
        <v>8</v>
      </c>
      <c r="AS3" s="109" t="s">
        <v>59</v>
      </c>
      <c r="AT3" s="110" t="s">
        <v>7</v>
      </c>
      <c r="AU3" s="111" t="s">
        <v>6</v>
      </c>
      <c r="AV3" s="109" t="s">
        <v>25</v>
      </c>
      <c r="AW3" s="114" t="s">
        <v>7</v>
      </c>
      <c r="AX3" s="109" t="s">
        <v>76</v>
      </c>
      <c r="AY3" s="109" t="s">
        <v>25</v>
      </c>
      <c r="AZ3" s="112" t="s">
        <v>7</v>
      </c>
      <c r="BA3" s="113" t="s">
        <v>30</v>
      </c>
      <c r="BB3" s="110" t="s">
        <v>7</v>
      </c>
      <c r="BC3" s="300"/>
      <c r="BD3" s="4"/>
    </row>
    <row r="4" spans="1:56" s="1" customFormat="1" ht="16.5" thickBot="1" x14ac:dyDescent="0.3">
      <c r="A4" s="236" t="s">
        <v>33</v>
      </c>
      <c r="B4" s="238" t="s">
        <v>34</v>
      </c>
      <c r="C4" s="238" t="s">
        <v>35</v>
      </c>
      <c r="D4" s="235" t="s">
        <v>36</v>
      </c>
      <c r="E4" s="236" t="s">
        <v>37</v>
      </c>
      <c r="F4" s="236" t="s">
        <v>38</v>
      </c>
      <c r="G4" s="236" t="s">
        <v>39</v>
      </c>
      <c r="H4" s="236" t="s">
        <v>40</v>
      </c>
      <c r="I4" s="236" t="s">
        <v>41</v>
      </c>
      <c r="J4" s="236" t="s">
        <v>42</v>
      </c>
      <c r="K4" s="236" t="s">
        <v>43</v>
      </c>
      <c r="L4" s="236" t="s">
        <v>44</v>
      </c>
      <c r="M4" s="236" t="s">
        <v>45</v>
      </c>
      <c r="N4" s="236" t="s">
        <v>46</v>
      </c>
      <c r="O4" s="236" t="s">
        <v>47</v>
      </c>
      <c r="P4" s="236" t="s">
        <v>48</v>
      </c>
      <c r="Q4" s="236" t="s">
        <v>49</v>
      </c>
      <c r="R4" s="236" t="s">
        <v>50</v>
      </c>
      <c r="S4" s="236" t="s">
        <v>51</v>
      </c>
      <c r="T4" s="236" t="s">
        <v>52</v>
      </c>
      <c r="U4" s="236" t="s">
        <v>53</v>
      </c>
      <c r="V4" s="236" t="s">
        <v>54</v>
      </c>
      <c r="W4" s="236" t="s">
        <v>55</v>
      </c>
      <c r="X4" s="236" t="s">
        <v>71</v>
      </c>
      <c r="Y4" s="236" t="s">
        <v>72</v>
      </c>
      <c r="Z4" s="236" t="s">
        <v>73</v>
      </c>
      <c r="AA4" s="236" t="s">
        <v>77</v>
      </c>
      <c r="AB4" s="236" t="s">
        <v>78</v>
      </c>
      <c r="AC4" s="236" t="s">
        <v>79</v>
      </c>
      <c r="AD4" s="236" t="s">
        <v>81</v>
      </c>
      <c r="AE4" s="236" t="s">
        <v>82</v>
      </c>
      <c r="AF4" s="236" t="s">
        <v>83</v>
      </c>
      <c r="AG4" s="236" t="s">
        <v>98</v>
      </c>
      <c r="AH4" s="236" t="s">
        <v>104</v>
      </c>
      <c r="AI4" s="236" t="s">
        <v>105</v>
      </c>
      <c r="AJ4" s="236" t="s">
        <v>109</v>
      </c>
      <c r="AK4" s="236" t="s">
        <v>110</v>
      </c>
      <c r="AL4" s="236" t="s">
        <v>116</v>
      </c>
      <c r="AM4" s="236" t="s">
        <v>136</v>
      </c>
      <c r="AN4" s="236" t="s">
        <v>137</v>
      </c>
      <c r="AO4" s="236" t="s">
        <v>138</v>
      </c>
      <c r="AP4" s="236" t="s">
        <v>139</v>
      </c>
      <c r="AQ4" s="236" t="s">
        <v>140</v>
      </c>
      <c r="AR4" s="236" t="s">
        <v>141</v>
      </c>
      <c r="AS4" s="236" t="s">
        <v>142</v>
      </c>
      <c r="AT4" s="236" t="s">
        <v>143</v>
      </c>
      <c r="AU4" s="236" t="s">
        <v>152</v>
      </c>
      <c r="AV4" s="236" t="s">
        <v>153</v>
      </c>
      <c r="AW4" s="236" t="s">
        <v>154</v>
      </c>
      <c r="AX4" s="236" t="s">
        <v>155</v>
      </c>
      <c r="AY4" s="236" t="s">
        <v>164</v>
      </c>
      <c r="AZ4" s="236" t="s">
        <v>169</v>
      </c>
      <c r="BA4" s="236" t="s">
        <v>170</v>
      </c>
      <c r="BB4" s="236" t="s">
        <v>171</v>
      </c>
      <c r="BC4" s="127" t="s">
        <v>175</v>
      </c>
    </row>
    <row r="5" spans="1:56" s="1" customFormat="1" x14ac:dyDescent="0.25">
      <c r="A5" s="282">
        <v>1</v>
      </c>
      <c r="B5" s="282">
        <v>790001</v>
      </c>
      <c r="C5" s="147" t="s">
        <v>9</v>
      </c>
      <c r="D5" s="130">
        <v>2396</v>
      </c>
      <c r="E5" s="30">
        <f>1199192-1446-54</f>
        <v>1197692</v>
      </c>
      <c r="F5" s="30">
        <v>571</v>
      </c>
      <c r="G5" s="30">
        <v>734818</v>
      </c>
      <c r="H5" s="30">
        <v>345</v>
      </c>
      <c r="I5" s="30">
        <f>18057+174133+291+60867+18056</f>
        <v>271404</v>
      </c>
      <c r="J5" s="30">
        <v>27</v>
      </c>
      <c r="K5" s="30">
        <v>69626</v>
      </c>
      <c r="L5" s="30">
        <v>15</v>
      </c>
      <c r="M5" s="30">
        <v>36053</v>
      </c>
      <c r="N5" s="30"/>
      <c r="O5" s="30"/>
      <c r="P5" s="30">
        <v>4</v>
      </c>
      <c r="Q5" s="30">
        <f>9099-682</f>
        <v>8417</v>
      </c>
      <c r="R5" s="26">
        <v>9</v>
      </c>
      <c r="S5" s="26">
        <f>45563-4467</f>
        <v>41096</v>
      </c>
      <c r="T5" s="30"/>
      <c r="U5" s="30"/>
      <c r="V5" s="30"/>
      <c r="W5" s="30"/>
      <c r="X5" s="30">
        <f>13+128</f>
        <v>141</v>
      </c>
      <c r="Y5" s="30">
        <v>15</v>
      </c>
      <c r="Z5" s="30">
        <v>20</v>
      </c>
      <c r="AA5" s="30">
        <v>103774</v>
      </c>
      <c r="AB5" s="30">
        <v>103</v>
      </c>
      <c r="AC5" s="30">
        <v>500216</v>
      </c>
      <c r="AD5" s="30">
        <v>39</v>
      </c>
      <c r="AE5" s="30">
        <v>84860</v>
      </c>
      <c r="AF5" s="30">
        <v>81</v>
      </c>
      <c r="AG5" s="30">
        <v>97228</v>
      </c>
      <c r="AH5" s="30">
        <v>118</v>
      </c>
      <c r="AI5" s="30">
        <f>-2496+278332</f>
        <v>275836</v>
      </c>
      <c r="AJ5" s="30">
        <v>1056</v>
      </c>
      <c r="AK5" s="30">
        <v>1656717</v>
      </c>
      <c r="AL5" s="30"/>
      <c r="AM5" s="30"/>
      <c r="AN5" s="49">
        <f t="shared" ref="AN5:AN48" si="0">E5+G5+M5+O5+Q5+S5+AA5+AC5+AE5+AG5+AI5+AK5+AM5+I5+K5</f>
        <v>5077737</v>
      </c>
      <c r="AO5" s="39">
        <f>456+AO7+AO6+AO8</f>
        <v>496</v>
      </c>
      <c r="AP5" s="31"/>
      <c r="AQ5" s="40">
        <f>41408710+AQ7+AQ6+AQ8-61432-347471-414518</f>
        <v>48703304</v>
      </c>
      <c r="AR5" s="35">
        <v>129</v>
      </c>
      <c r="AS5" s="169"/>
      <c r="AT5" s="49">
        <v>419262</v>
      </c>
      <c r="AU5" s="39">
        <v>14</v>
      </c>
      <c r="AV5" s="31">
        <v>32</v>
      </c>
      <c r="AW5" s="31">
        <v>10706</v>
      </c>
      <c r="AX5" s="31"/>
      <c r="AY5" s="31"/>
      <c r="AZ5" s="40"/>
      <c r="BA5" s="35"/>
      <c r="BB5" s="49"/>
      <c r="BC5" s="83">
        <f t="shared" ref="BC5:BC115" si="1">AN5+AQ5+AT5+AW5+BB5+AZ5</f>
        <v>54211009</v>
      </c>
      <c r="BD5" s="5"/>
    </row>
    <row r="6" spans="1:56" s="1" customFormat="1" x14ac:dyDescent="0.25">
      <c r="A6" s="283"/>
      <c r="B6" s="283"/>
      <c r="C6" s="134" t="s">
        <v>119</v>
      </c>
      <c r="D6" s="53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50">
        <f t="shared" si="0"/>
        <v>0</v>
      </c>
      <c r="AO6" s="41">
        <v>3</v>
      </c>
      <c r="AP6" s="27"/>
      <c r="AQ6" s="42">
        <f>217874-7912</f>
        <v>209962</v>
      </c>
      <c r="AR6" s="36"/>
      <c r="AS6" s="170"/>
      <c r="AT6" s="50"/>
      <c r="AU6" s="43"/>
      <c r="AV6" s="27"/>
      <c r="AW6" s="27"/>
      <c r="AX6" s="27"/>
      <c r="AY6" s="27"/>
      <c r="AZ6" s="44"/>
      <c r="BA6" s="36"/>
      <c r="BB6" s="50"/>
      <c r="BC6" s="108">
        <f t="shared" si="1"/>
        <v>209962</v>
      </c>
      <c r="BD6" s="5"/>
    </row>
    <row r="7" spans="1:56" s="1" customFormat="1" x14ac:dyDescent="0.25">
      <c r="A7" s="283"/>
      <c r="B7" s="283"/>
      <c r="C7" s="134" t="s">
        <v>121</v>
      </c>
      <c r="D7" s="53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50">
        <f t="shared" si="0"/>
        <v>0</v>
      </c>
      <c r="AO7" s="41">
        <v>23</v>
      </c>
      <c r="AP7" s="27"/>
      <c r="AQ7" s="42">
        <v>4408743</v>
      </c>
      <c r="AR7" s="36"/>
      <c r="AS7" s="170"/>
      <c r="AT7" s="50"/>
      <c r="AU7" s="43"/>
      <c r="AV7" s="27"/>
      <c r="AW7" s="27"/>
      <c r="AX7" s="27"/>
      <c r="AY7" s="27"/>
      <c r="AZ7" s="44"/>
      <c r="BA7" s="36"/>
      <c r="BB7" s="50"/>
      <c r="BC7" s="108">
        <f t="shared" si="1"/>
        <v>4408743</v>
      </c>
      <c r="BD7" s="5"/>
    </row>
    <row r="8" spans="1:56" s="1" customFormat="1" x14ac:dyDescent="0.25">
      <c r="A8" s="283"/>
      <c r="B8" s="283"/>
      <c r="C8" s="134" t="s">
        <v>188</v>
      </c>
      <c r="D8" s="53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50">
        <f t="shared" si="0"/>
        <v>0</v>
      </c>
      <c r="AO8" s="41">
        <v>14</v>
      </c>
      <c r="AP8" s="27"/>
      <c r="AQ8" s="42">
        <v>3499310</v>
      </c>
      <c r="AR8" s="36"/>
      <c r="AS8" s="170"/>
      <c r="AT8" s="50"/>
      <c r="AU8" s="43"/>
      <c r="AV8" s="27"/>
      <c r="AW8" s="27"/>
      <c r="AX8" s="27"/>
      <c r="AY8" s="27"/>
      <c r="AZ8" s="44"/>
      <c r="BA8" s="36"/>
      <c r="BB8" s="50"/>
      <c r="BC8" s="108">
        <f t="shared" si="1"/>
        <v>3499310</v>
      </c>
      <c r="BD8" s="5"/>
    </row>
    <row r="9" spans="1:56" s="1" customFormat="1" ht="31.5" x14ac:dyDescent="0.25">
      <c r="A9" s="283"/>
      <c r="B9" s="283"/>
      <c r="C9" s="93" t="s">
        <v>190</v>
      </c>
      <c r="D9" s="53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50">
        <f t="shared" si="0"/>
        <v>0</v>
      </c>
      <c r="AO9" s="43"/>
      <c r="AP9" s="27"/>
      <c r="AQ9" s="44"/>
      <c r="AR9" s="36"/>
      <c r="AS9" s="170"/>
      <c r="AT9" s="50"/>
      <c r="AU9" s="43"/>
      <c r="AV9" s="27"/>
      <c r="AW9" s="27"/>
      <c r="AX9" s="27"/>
      <c r="AY9" s="27"/>
      <c r="AZ9" s="44"/>
      <c r="BA9" s="36"/>
      <c r="BB9" s="50"/>
      <c r="BC9" s="212">
        <f t="shared" si="1"/>
        <v>0</v>
      </c>
      <c r="BD9" s="5"/>
    </row>
    <row r="10" spans="1:56" s="1" customFormat="1" x14ac:dyDescent="0.25">
      <c r="A10" s="283"/>
      <c r="B10" s="283"/>
      <c r="C10" s="134" t="s">
        <v>191</v>
      </c>
      <c r="D10" s="53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50">
        <f t="shared" si="0"/>
        <v>0</v>
      </c>
      <c r="AO10" s="43"/>
      <c r="AP10" s="27"/>
      <c r="AQ10" s="44"/>
      <c r="AR10" s="36"/>
      <c r="AS10" s="170"/>
      <c r="AT10" s="50"/>
      <c r="AU10" s="43"/>
      <c r="AV10" s="27"/>
      <c r="AW10" s="27"/>
      <c r="AX10" s="27"/>
      <c r="AY10" s="27"/>
      <c r="AZ10" s="44"/>
      <c r="BA10" s="36"/>
      <c r="BB10" s="50"/>
      <c r="BC10" s="212">
        <f t="shared" si="1"/>
        <v>0</v>
      </c>
      <c r="BD10" s="5"/>
    </row>
    <row r="11" spans="1:56" s="1" customFormat="1" x14ac:dyDescent="0.25">
      <c r="A11" s="283"/>
      <c r="B11" s="283"/>
      <c r="C11" s="134" t="s">
        <v>176</v>
      </c>
      <c r="D11" s="53">
        <v>1</v>
      </c>
      <c r="E11" s="26">
        <v>41844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50">
        <f t="shared" si="0"/>
        <v>41844</v>
      </c>
      <c r="AO11" s="43">
        <v>6</v>
      </c>
      <c r="AP11" s="27"/>
      <c r="AQ11" s="44">
        <f>1937502-609899</f>
        <v>1327603</v>
      </c>
      <c r="AR11" s="36"/>
      <c r="AS11" s="170"/>
      <c r="AT11" s="50"/>
      <c r="AU11" s="43"/>
      <c r="AV11" s="27"/>
      <c r="AW11" s="27"/>
      <c r="AX11" s="27"/>
      <c r="AY11" s="27"/>
      <c r="AZ11" s="44"/>
      <c r="BA11" s="36"/>
      <c r="BB11" s="50"/>
      <c r="BC11" s="82">
        <f>AN11+AQ11+AT11+AW11+BB11+AZ11</f>
        <v>1369447</v>
      </c>
      <c r="BD11" s="5"/>
    </row>
    <row r="12" spans="1:56" s="1" customFormat="1" x14ac:dyDescent="0.25">
      <c r="A12" s="283"/>
      <c r="B12" s="283"/>
      <c r="C12" s="135" t="s">
        <v>26</v>
      </c>
      <c r="D12" s="53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50">
        <f t="shared" si="0"/>
        <v>0</v>
      </c>
      <c r="AO12" s="43">
        <f>AO13</f>
        <v>1</v>
      </c>
      <c r="AP12" s="27"/>
      <c r="AQ12" s="44">
        <f>AQ13</f>
        <v>209824</v>
      </c>
      <c r="AR12" s="36"/>
      <c r="AS12" s="170"/>
      <c r="AT12" s="50"/>
      <c r="AU12" s="43"/>
      <c r="AV12" s="27"/>
      <c r="AW12" s="27"/>
      <c r="AX12" s="27"/>
      <c r="AY12" s="27"/>
      <c r="AZ12" s="44"/>
      <c r="BA12" s="36"/>
      <c r="BB12" s="50"/>
      <c r="BC12" s="82">
        <f t="shared" si="1"/>
        <v>209824</v>
      </c>
      <c r="BD12" s="5"/>
    </row>
    <row r="13" spans="1:56" s="1" customFormat="1" x14ac:dyDescent="0.25">
      <c r="A13" s="283"/>
      <c r="B13" s="283"/>
      <c r="C13" s="134" t="s">
        <v>189</v>
      </c>
      <c r="D13" s="53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50">
        <f t="shared" si="0"/>
        <v>0</v>
      </c>
      <c r="AO13" s="41">
        <v>1</v>
      </c>
      <c r="AP13" s="27"/>
      <c r="AQ13" s="42">
        <v>209824</v>
      </c>
      <c r="AR13" s="36"/>
      <c r="AS13" s="170"/>
      <c r="AT13" s="50"/>
      <c r="AU13" s="43"/>
      <c r="AV13" s="27"/>
      <c r="AW13" s="27"/>
      <c r="AX13" s="27"/>
      <c r="AY13" s="27"/>
      <c r="AZ13" s="44"/>
      <c r="BA13" s="36"/>
      <c r="BB13" s="50"/>
      <c r="BC13" s="108">
        <f t="shared" si="1"/>
        <v>209824</v>
      </c>
      <c r="BD13" s="5"/>
    </row>
    <row r="14" spans="1:56" s="1" customFormat="1" ht="31.5" x14ac:dyDescent="0.25">
      <c r="A14" s="283"/>
      <c r="B14" s="283"/>
      <c r="C14" s="93" t="s">
        <v>186</v>
      </c>
      <c r="D14" s="53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50">
        <f t="shared" si="0"/>
        <v>0</v>
      </c>
      <c r="AO14" s="41"/>
      <c r="AP14" s="27"/>
      <c r="AQ14" s="42"/>
      <c r="AR14" s="36"/>
      <c r="AS14" s="170"/>
      <c r="AT14" s="50"/>
      <c r="AU14" s="43"/>
      <c r="AV14" s="27"/>
      <c r="AW14" s="27"/>
      <c r="AX14" s="27"/>
      <c r="AY14" s="27"/>
      <c r="AZ14" s="44"/>
      <c r="BA14" s="36"/>
      <c r="BB14" s="50"/>
      <c r="BC14" s="82">
        <f t="shared" si="1"/>
        <v>0</v>
      </c>
      <c r="BD14" s="5"/>
    </row>
    <row r="15" spans="1:56" s="1" customFormat="1" x14ac:dyDescent="0.25">
      <c r="A15" s="283"/>
      <c r="B15" s="283"/>
      <c r="C15" s="146" t="s">
        <v>183</v>
      </c>
      <c r="D15" s="53">
        <v>7</v>
      </c>
      <c r="E15" s="26">
        <v>4744</v>
      </c>
      <c r="F15" s="26">
        <v>3</v>
      </c>
      <c r="G15" s="26">
        <v>4339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50">
        <f t="shared" si="0"/>
        <v>9083</v>
      </c>
      <c r="AO15" s="41"/>
      <c r="AP15" s="27"/>
      <c r="AQ15" s="42"/>
      <c r="AR15" s="36"/>
      <c r="AS15" s="170"/>
      <c r="AT15" s="50"/>
      <c r="AU15" s="43"/>
      <c r="AV15" s="27"/>
      <c r="AW15" s="27"/>
      <c r="AX15" s="27"/>
      <c r="AY15" s="27"/>
      <c r="AZ15" s="44"/>
      <c r="BA15" s="36"/>
      <c r="BB15" s="50"/>
      <c r="BC15" s="82">
        <f t="shared" si="1"/>
        <v>9083</v>
      </c>
      <c r="BD15" s="5"/>
    </row>
    <row r="16" spans="1:56" s="1" customFormat="1" x14ac:dyDescent="0.25">
      <c r="A16" s="283"/>
      <c r="B16" s="283"/>
      <c r="C16" s="134" t="s">
        <v>179</v>
      </c>
      <c r="D16" s="53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50">
        <f t="shared" si="0"/>
        <v>0</v>
      </c>
      <c r="AO16" s="43"/>
      <c r="AP16" s="27"/>
      <c r="AQ16" s="44"/>
      <c r="AR16" s="36"/>
      <c r="AS16" s="170"/>
      <c r="AT16" s="50"/>
      <c r="AU16" s="43"/>
      <c r="AV16" s="27"/>
      <c r="AW16" s="27"/>
      <c r="AX16" s="27"/>
      <c r="AY16" s="27"/>
      <c r="AZ16" s="44"/>
      <c r="BA16" s="36"/>
      <c r="BB16" s="50"/>
      <c r="BC16" s="82">
        <f t="shared" si="1"/>
        <v>0</v>
      </c>
      <c r="BD16" s="5"/>
    </row>
    <row r="17" spans="1:56" s="1" customFormat="1" x14ac:dyDescent="0.25">
      <c r="A17" s="283"/>
      <c r="B17" s="283"/>
      <c r="C17" s="134" t="s">
        <v>60</v>
      </c>
      <c r="D17" s="53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>
        <v>762</v>
      </c>
      <c r="AM17" s="26">
        <v>133337</v>
      </c>
      <c r="AN17" s="50">
        <f t="shared" si="0"/>
        <v>133337</v>
      </c>
      <c r="AO17" s="43"/>
      <c r="AP17" s="27"/>
      <c r="AQ17" s="44"/>
      <c r="AR17" s="36"/>
      <c r="AS17" s="170"/>
      <c r="AT17" s="50"/>
      <c r="AU17" s="43"/>
      <c r="AV17" s="27"/>
      <c r="AW17" s="27"/>
      <c r="AX17" s="27"/>
      <c r="AY17" s="27"/>
      <c r="AZ17" s="44"/>
      <c r="BA17" s="36"/>
      <c r="BB17" s="50"/>
      <c r="BC17" s="82">
        <f t="shared" si="1"/>
        <v>133337</v>
      </c>
      <c r="BD17" s="5"/>
    </row>
    <row r="18" spans="1:56" s="1" customFormat="1" x14ac:dyDescent="0.25">
      <c r="A18" s="283"/>
      <c r="B18" s="283"/>
      <c r="C18" s="134" t="s">
        <v>187</v>
      </c>
      <c r="D18" s="53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50">
        <f t="shared" si="0"/>
        <v>0</v>
      </c>
      <c r="AO18" s="43"/>
      <c r="AP18" s="27"/>
      <c r="AQ18" s="44"/>
      <c r="AR18" s="36"/>
      <c r="AS18" s="170"/>
      <c r="AT18" s="50"/>
      <c r="AU18" s="43"/>
      <c r="AV18" s="27"/>
      <c r="AW18" s="27"/>
      <c r="AX18" s="27"/>
      <c r="AY18" s="27"/>
      <c r="AZ18" s="44"/>
      <c r="BA18" s="36"/>
      <c r="BB18" s="50"/>
      <c r="BC18" s="82">
        <f t="shared" si="1"/>
        <v>0</v>
      </c>
      <c r="BD18" s="5"/>
    </row>
    <row r="19" spans="1:56" s="1" customFormat="1" x14ac:dyDescent="0.25">
      <c r="A19" s="283"/>
      <c r="B19" s="283"/>
      <c r="C19" s="134" t="s">
        <v>74</v>
      </c>
      <c r="D19" s="53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>
        <v>12</v>
      </c>
      <c r="AM19" s="26">
        <v>16690</v>
      </c>
      <c r="AN19" s="50">
        <f t="shared" si="0"/>
        <v>16690</v>
      </c>
      <c r="AO19" s="43"/>
      <c r="AP19" s="27"/>
      <c r="AQ19" s="44"/>
      <c r="AR19" s="36"/>
      <c r="AS19" s="170"/>
      <c r="AT19" s="50"/>
      <c r="AU19" s="43"/>
      <c r="AV19" s="27"/>
      <c r="AW19" s="27"/>
      <c r="AX19" s="27"/>
      <c r="AY19" s="27"/>
      <c r="AZ19" s="44"/>
      <c r="BA19" s="36"/>
      <c r="BB19" s="50"/>
      <c r="BC19" s="82">
        <f t="shared" si="1"/>
        <v>16690</v>
      </c>
      <c r="BD19" s="5"/>
    </row>
    <row r="20" spans="1:56" s="1" customFormat="1" x14ac:dyDescent="0.25">
      <c r="A20" s="283"/>
      <c r="B20" s="283"/>
      <c r="C20" s="93" t="s">
        <v>185</v>
      </c>
      <c r="D20" s="53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50">
        <f t="shared" si="0"/>
        <v>0</v>
      </c>
      <c r="AO20" s="43"/>
      <c r="AP20" s="27"/>
      <c r="AQ20" s="44"/>
      <c r="AR20" s="36"/>
      <c r="AS20" s="170"/>
      <c r="AT20" s="50"/>
      <c r="AU20" s="43"/>
      <c r="AV20" s="27"/>
      <c r="AW20" s="27"/>
      <c r="AX20" s="27"/>
      <c r="AY20" s="27"/>
      <c r="AZ20" s="44"/>
      <c r="BA20" s="36"/>
      <c r="BB20" s="50"/>
      <c r="BC20" s="82">
        <f t="shared" si="1"/>
        <v>0</v>
      </c>
      <c r="BD20" s="5"/>
    </row>
    <row r="21" spans="1:56" s="1" customFormat="1" x14ac:dyDescent="0.25">
      <c r="A21" s="283"/>
      <c r="B21" s="283"/>
      <c r="C21" s="93" t="s">
        <v>86</v>
      </c>
      <c r="D21" s="53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>
        <v>413</v>
      </c>
      <c r="AM21" s="26">
        <v>233362</v>
      </c>
      <c r="AN21" s="50">
        <f t="shared" si="0"/>
        <v>233362</v>
      </c>
      <c r="AO21" s="43"/>
      <c r="AP21" s="27"/>
      <c r="AQ21" s="44"/>
      <c r="AR21" s="36"/>
      <c r="AS21" s="170"/>
      <c r="AT21" s="50"/>
      <c r="AU21" s="43"/>
      <c r="AV21" s="27"/>
      <c r="AW21" s="27"/>
      <c r="AX21" s="27"/>
      <c r="AY21" s="27"/>
      <c r="AZ21" s="44"/>
      <c r="BA21" s="36"/>
      <c r="BB21" s="50"/>
      <c r="BC21" s="82">
        <f t="shared" si="1"/>
        <v>233362</v>
      </c>
      <c r="BD21" s="5"/>
    </row>
    <row r="22" spans="1:56" s="1" customFormat="1" x14ac:dyDescent="0.25">
      <c r="A22" s="283"/>
      <c r="B22" s="283"/>
      <c r="C22" s="93" t="s">
        <v>100</v>
      </c>
      <c r="D22" s="53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>
        <v>91</v>
      </c>
      <c r="AM22" s="26">
        <v>817888</v>
      </c>
      <c r="AN22" s="50">
        <f t="shared" si="0"/>
        <v>817888</v>
      </c>
      <c r="AO22" s="43"/>
      <c r="AP22" s="27">
        <v>90</v>
      </c>
      <c r="AQ22" s="44">
        <v>802372</v>
      </c>
      <c r="AR22" s="36"/>
      <c r="AS22" s="170"/>
      <c r="AT22" s="50"/>
      <c r="AU22" s="43"/>
      <c r="AV22" s="27"/>
      <c r="AW22" s="27"/>
      <c r="AX22" s="27"/>
      <c r="AY22" s="27"/>
      <c r="AZ22" s="44"/>
      <c r="BA22" s="36"/>
      <c r="BB22" s="50"/>
      <c r="BC22" s="82">
        <f t="shared" si="1"/>
        <v>1620260</v>
      </c>
      <c r="BD22" s="5"/>
    </row>
    <row r="23" spans="1:56" s="1" customFormat="1" x14ac:dyDescent="0.25">
      <c r="A23" s="283"/>
      <c r="B23" s="283"/>
      <c r="C23" s="93" t="s">
        <v>178</v>
      </c>
      <c r="D23" s="184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50">
        <f t="shared" si="0"/>
        <v>0</v>
      </c>
      <c r="AO23" s="43"/>
      <c r="AP23" s="27"/>
      <c r="AQ23" s="44"/>
      <c r="AR23" s="36"/>
      <c r="AS23" s="170"/>
      <c r="AT23" s="50"/>
      <c r="AU23" s="43"/>
      <c r="AV23" s="27"/>
      <c r="AW23" s="27"/>
      <c r="AX23" s="27"/>
      <c r="AY23" s="27"/>
      <c r="AZ23" s="44"/>
      <c r="BA23" s="36"/>
      <c r="BB23" s="50"/>
      <c r="BC23" s="82">
        <f t="shared" si="1"/>
        <v>0</v>
      </c>
      <c r="BD23" s="5"/>
    </row>
    <row r="24" spans="1:56" s="1" customFormat="1" x14ac:dyDescent="0.25">
      <c r="A24" s="283"/>
      <c r="B24" s="283"/>
      <c r="C24" s="93" t="s">
        <v>91</v>
      </c>
      <c r="D24" s="53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>
        <v>12</v>
      </c>
      <c r="AM24" s="26">
        <v>27974</v>
      </c>
      <c r="AN24" s="50">
        <f t="shared" si="0"/>
        <v>27974</v>
      </c>
      <c r="AO24" s="43"/>
      <c r="AP24" s="27"/>
      <c r="AQ24" s="44"/>
      <c r="AR24" s="36"/>
      <c r="AS24" s="170"/>
      <c r="AT24" s="50"/>
      <c r="AU24" s="43"/>
      <c r="AV24" s="27"/>
      <c r="AW24" s="27"/>
      <c r="AX24" s="27"/>
      <c r="AY24" s="27"/>
      <c r="AZ24" s="44"/>
      <c r="BA24" s="36"/>
      <c r="BB24" s="50"/>
      <c r="BC24" s="82">
        <f t="shared" si="1"/>
        <v>27974</v>
      </c>
      <c r="BD24" s="5"/>
    </row>
    <row r="25" spans="1:56" s="1" customFormat="1" x14ac:dyDescent="0.25">
      <c r="A25" s="283"/>
      <c r="B25" s="283"/>
      <c r="C25" s="93" t="s">
        <v>75</v>
      </c>
      <c r="D25" s="53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>
        <v>10</v>
      </c>
      <c r="AM25" s="26">
        <v>10842</v>
      </c>
      <c r="AN25" s="50">
        <f t="shared" si="0"/>
        <v>10842</v>
      </c>
      <c r="AO25" s="43"/>
      <c r="AP25" s="27"/>
      <c r="AQ25" s="44"/>
      <c r="AR25" s="36"/>
      <c r="AS25" s="170"/>
      <c r="AT25" s="50"/>
      <c r="AU25" s="43"/>
      <c r="AV25" s="27"/>
      <c r="AW25" s="27"/>
      <c r="AX25" s="27"/>
      <c r="AY25" s="27"/>
      <c r="AZ25" s="44"/>
      <c r="BA25" s="36"/>
      <c r="BB25" s="50"/>
      <c r="BC25" s="82">
        <f t="shared" si="1"/>
        <v>10842</v>
      </c>
      <c r="BD25" s="5"/>
    </row>
    <row r="26" spans="1:56" s="1" customFormat="1" ht="47.25" x14ac:dyDescent="0.25">
      <c r="A26" s="283"/>
      <c r="B26" s="283"/>
      <c r="C26" s="146" t="s">
        <v>92</v>
      </c>
      <c r="D26" s="53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50">
        <f t="shared" si="0"/>
        <v>0</v>
      </c>
      <c r="AO26" s="43"/>
      <c r="AP26" s="27"/>
      <c r="AQ26" s="44"/>
      <c r="AR26" s="36"/>
      <c r="AS26" s="170"/>
      <c r="AT26" s="50"/>
      <c r="AU26" s="43"/>
      <c r="AV26" s="27"/>
      <c r="AW26" s="27"/>
      <c r="AX26" s="27"/>
      <c r="AY26" s="27"/>
      <c r="AZ26" s="44"/>
      <c r="BA26" s="36"/>
      <c r="BB26" s="50"/>
      <c r="BC26" s="82">
        <f t="shared" si="1"/>
        <v>0</v>
      </c>
      <c r="BD26" s="5"/>
    </row>
    <row r="27" spans="1:56" s="1" customFormat="1" ht="31.5" x14ac:dyDescent="0.25">
      <c r="A27" s="283"/>
      <c r="B27" s="283"/>
      <c r="C27" s="146" t="s">
        <v>180</v>
      </c>
      <c r="D27" s="53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50">
        <f t="shared" si="0"/>
        <v>0</v>
      </c>
      <c r="AO27" s="43"/>
      <c r="AP27" s="27"/>
      <c r="AQ27" s="44"/>
      <c r="AR27" s="36"/>
      <c r="AS27" s="170"/>
      <c r="AT27" s="50"/>
      <c r="AU27" s="43"/>
      <c r="AV27" s="27"/>
      <c r="AW27" s="27"/>
      <c r="AX27" s="27"/>
      <c r="AY27" s="27"/>
      <c r="AZ27" s="44"/>
      <c r="BA27" s="36"/>
      <c r="BB27" s="50"/>
      <c r="BC27" s="82">
        <f t="shared" si="1"/>
        <v>0</v>
      </c>
      <c r="BD27" s="5"/>
    </row>
    <row r="28" spans="1:56" s="1" customFormat="1" ht="16.5" thickBot="1" x14ac:dyDescent="0.3">
      <c r="A28" s="284"/>
      <c r="B28" s="284"/>
      <c r="C28" s="121" t="s">
        <v>148</v>
      </c>
      <c r="D28" s="53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50">
        <f t="shared" si="0"/>
        <v>0</v>
      </c>
      <c r="AO28" s="43"/>
      <c r="AP28" s="27"/>
      <c r="AQ28" s="44"/>
      <c r="AR28" s="36"/>
      <c r="AS28" s="170"/>
      <c r="AT28" s="50"/>
      <c r="AU28" s="43"/>
      <c r="AV28" s="27"/>
      <c r="AW28" s="27"/>
      <c r="AX28" s="27"/>
      <c r="AY28" s="27"/>
      <c r="AZ28" s="44"/>
      <c r="BA28" s="36"/>
      <c r="BB28" s="50"/>
      <c r="BC28" s="82">
        <f t="shared" si="1"/>
        <v>0</v>
      </c>
      <c r="BD28" s="5"/>
    </row>
    <row r="29" spans="1:56" s="1" customFormat="1" ht="16.5" customHeight="1" x14ac:dyDescent="0.25">
      <c r="A29" s="282">
        <v>2</v>
      </c>
      <c r="B29" s="282">
        <v>790002</v>
      </c>
      <c r="C29" s="120" t="s">
        <v>10</v>
      </c>
      <c r="D29" s="130">
        <v>1135</v>
      </c>
      <c r="E29" s="30">
        <f>674874-2094</f>
        <v>672780</v>
      </c>
      <c r="F29" s="30">
        <v>92</v>
      </c>
      <c r="G29" s="30">
        <v>150135</v>
      </c>
      <c r="H29" s="30">
        <v>20</v>
      </c>
      <c r="I29" s="30">
        <v>10705</v>
      </c>
      <c r="J29" s="30">
        <v>5</v>
      </c>
      <c r="K29" s="30">
        <v>5071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>
        <v>6</v>
      </c>
      <c r="AC29" s="30">
        <v>94039</v>
      </c>
      <c r="AD29" s="30"/>
      <c r="AE29" s="30"/>
      <c r="AF29" s="30"/>
      <c r="AG29" s="30"/>
      <c r="AH29" s="30">
        <v>99</v>
      </c>
      <c r="AI29" s="30">
        <v>417546</v>
      </c>
      <c r="AJ29" s="30">
        <v>582</v>
      </c>
      <c r="AK29" s="30">
        <v>913077</v>
      </c>
      <c r="AL29" s="30"/>
      <c r="AM29" s="30"/>
      <c r="AN29" s="40">
        <f t="shared" si="0"/>
        <v>2263353</v>
      </c>
      <c r="AO29" s="39">
        <v>43</v>
      </c>
      <c r="AP29" s="31"/>
      <c r="AQ29" s="40">
        <f>1924412-4083</f>
        <v>1920329</v>
      </c>
      <c r="AR29" s="35">
        <v>16</v>
      </c>
      <c r="AS29" s="169"/>
      <c r="AT29" s="49">
        <v>434341</v>
      </c>
      <c r="AU29" s="39"/>
      <c r="AV29" s="31"/>
      <c r="AW29" s="31"/>
      <c r="AX29" s="31"/>
      <c r="AY29" s="31"/>
      <c r="AZ29" s="40"/>
      <c r="BA29" s="35"/>
      <c r="BB29" s="49"/>
      <c r="BC29" s="83">
        <f t="shared" si="1"/>
        <v>4618023</v>
      </c>
      <c r="BD29" s="5"/>
    </row>
    <row r="30" spans="1:56" s="1" customFormat="1" ht="29.25" customHeight="1" x14ac:dyDescent="0.25">
      <c r="A30" s="283"/>
      <c r="B30" s="283"/>
      <c r="C30" s="93" t="s">
        <v>190</v>
      </c>
      <c r="D30" s="143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52">
        <f t="shared" si="0"/>
        <v>0</v>
      </c>
      <c r="AO30" s="47"/>
      <c r="AP30" s="29"/>
      <c r="AQ30" s="48"/>
      <c r="AR30" s="38"/>
      <c r="AS30" s="171"/>
      <c r="AT30" s="52"/>
      <c r="AU30" s="47"/>
      <c r="AV30" s="29"/>
      <c r="AW30" s="29"/>
      <c r="AX30" s="29"/>
      <c r="AY30" s="29"/>
      <c r="AZ30" s="48"/>
      <c r="BA30" s="38"/>
      <c r="BB30" s="52"/>
      <c r="BC30" s="100">
        <f t="shared" si="1"/>
        <v>0</v>
      </c>
      <c r="BD30" s="5"/>
    </row>
    <row r="31" spans="1:56" s="1" customFormat="1" ht="16.5" customHeight="1" x14ac:dyDescent="0.25">
      <c r="A31" s="283"/>
      <c r="B31" s="283"/>
      <c r="C31" s="213" t="s">
        <v>179</v>
      </c>
      <c r="D31" s="53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50">
        <f t="shared" si="0"/>
        <v>0</v>
      </c>
      <c r="AO31" s="43"/>
      <c r="AP31" s="27"/>
      <c r="AQ31" s="44"/>
      <c r="AR31" s="36"/>
      <c r="AS31" s="170"/>
      <c r="AT31" s="50"/>
      <c r="AU31" s="43"/>
      <c r="AV31" s="27"/>
      <c r="AW31" s="27"/>
      <c r="AX31" s="27"/>
      <c r="AY31" s="27"/>
      <c r="AZ31" s="44"/>
      <c r="BA31" s="36"/>
      <c r="BB31" s="50"/>
      <c r="BC31" s="82">
        <f t="shared" si="1"/>
        <v>0</v>
      </c>
      <c r="BD31" s="5"/>
    </row>
    <row r="32" spans="1:56" s="1" customFormat="1" ht="16.5" customHeight="1" x14ac:dyDescent="0.25">
      <c r="A32" s="283"/>
      <c r="B32" s="283"/>
      <c r="C32" s="93" t="s">
        <v>87</v>
      </c>
      <c r="D32" s="53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50">
        <f t="shared" si="0"/>
        <v>0</v>
      </c>
      <c r="AO32" s="43"/>
      <c r="AP32" s="27"/>
      <c r="AQ32" s="44"/>
      <c r="AR32" s="36"/>
      <c r="AS32" s="170"/>
      <c r="AT32" s="50"/>
      <c r="AU32" s="43"/>
      <c r="AV32" s="27"/>
      <c r="AW32" s="27"/>
      <c r="AX32" s="27"/>
      <c r="AY32" s="27"/>
      <c r="AZ32" s="44"/>
      <c r="BA32" s="36"/>
      <c r="BB32" s="50"/>
      <c r="BC32" s="82">
        <f t="shared" si="1"/>
        <v>0</v>
      </c>
      <c r="BD32" s="5"/>
    </row>
    <row r="33" spans="1:56" s="1" customFormat="1" ht="16.5" customHeight="1" x14ac:dyDescent="0.25">
      <c r="A33" s="283"/>
      <c r="B33" s="283"/>
      <c r="C33" s="93" t="s">
        <v>74</v>
      </c>
      <c r="D33" s="53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>
        <v>24</v>
      </c>
      <c r="AM33" s="26">
        <v>40899</v>
      </c>
      <c r="AN33" s="50">
        <f t="shared" si="0"/>
        <v>40899</v>
      </c>
      <c r="AO33" s="43"/>
      <c r="AP33" s="27"/>
      <c r="AQ33" s="44"/>
      <c r="AR33" s="36"/>
      <c r="AS33" s="170"/>
      <c r="AT33" s="50"/>
      <c r="AU33" s="43"/>
      <c r="AV33" s="27"/>
      <c r="AW33" s="27"/>
      <c r="AX33" s="27"/>
      <c r="AY33" s="27"/>
      <c r="AZ33" s="44"/>
      <c r="BA33" s="36"/>
      <c r="BB33" s="50"/>
      <c r="BC33" s="82">
        <f t="shared" si="1"/>
        <v>40899</v>
      </c>
      <c r="BD33" s="5"/>
    </row>
    <row r="34" spans="1:56" s="1" customFormat="1" x14ac:dyDescent="0.25">
      <c r="A34" s="283"/>
      <c r="B34" s="283"/>
      <c r="C34" s="93" t="s">
        <v>75</v>
      </c>
      <c r="D34" s="53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>
        <v>5</v>
      </c>
      <c r="AM34" s="26">
        <v>5421</v>
      </c>
      <c r="AN34" s="50">
        <f t="shared" si="0"/>
        <v>5421</v>
      </c>
      <c r="AO34" s="43"/>
      <c r="AP34" s="27"/>
      <c r="AQ34" s="44"/>
      <c r="AR34" s="36"/>
      <c r="AS34" s="170"/>
      <c r="AT34" s="50"/>
      <c r="AU34" s="43"/>
      <c r="AV34" s="27"/>
      <c r="AW34" s="27"/>
      <c r="AX34" s="27"/>
      <c r="AY34" s="27"/>
      <c r="AZ34" s="44"/>
      <c r="BA34" s="36"/>
      <c r="BB34" s="50"/>
      <c r="BC34" s="82">
        <f t="shared" si="1"/>
        <v>5421</v>
      </c>
      <c r="BD34" s="5"/>
    </row>
    <row r="35" spans="1:56" s="1" customFormat="1" x14ac:dyDescent="0.25">
      <c r="A35" s="283"/>
      <c r="B35" s="283"/>
      <c r="C35" s="93" t="s">
        <v>112</v>
      </c>
      <c r="D35" s="53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50">
        <f t="shared" si="0"/>
        <v>0</v>
      </c>
      <c r="AO35" s="43"/>
      <c r="AP35" s="27"/>
      <c r="AQ35" s="44"/>
      <c r="AR35" s="36"/>
      <c r="AS35" s="170"/>
      <c r="AT35" s="50"/>
      <c r="AU35" s="43"/>
      <c r="AV35" s="27"/>
      <c r="AW35" s="27"/>
      <c r="AX35" s="27"/>
      <c r="AY35" s="27"/>
      <c r="AZ35" s="44"/>
      <c r="BA35" s="36"/>
      <c r="BB35" s="50"/>
      <c r="BC35" s="82">
        <f t="shared" si="1"/>
        <v>0</v>
      </c>
      <c r="BD35" s="5"/>
    </row>
    <row r="36" spans="1:56" s="1" customFormat="1" ht="16.5" thickBot="1" x14ac:dyDescent="0.3">
      <c r="A36" s="284"/>
      <c r="B36" s="284"/>
      <c r="C36" s="121" t="s">
        <v>148</v>
      </c>
      <c r="D36" s="106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46">
        <f t="shared" si="0"/>
        <v>0</v>
      </c>
      <c r="AO36" s="45"/>
      <c r="AP36" s="33"/>
      <c r="AQ36" s="46"/>
      <c r="AR36" s="37"/>
      <c r="AS36" s="174"/>
      <c r="AT36" s="51"/>
      <c r="AU36" s="45"/>
      <c r="AV36" s="33"/>
      <c r="AW36" s="33"/>
      <c r="AX36" s="33"/>
      <c r="AY36" s="33"/>
      <c r="AZ36" s="46"/>
      <c r="BA36" s="37"/>
      <c r="BB36" s="51"/>
      <c r="BC36" s="84">
        <f t="shared" si="1"/>
        <v>0</v>
      </c>
      <c r="BD36" s="5"/>
    </row>
    <row r="37" spans="1:56" s="1" customFormat="1" ht="16.5" thickBot="1" x14ac:dyDescent="0.3">
      <c r="A37" s="230">
        <v>3</v>
      </c>
      <c r="B37" s="226">
        <v>790003</v>
      </c>
      <c r="C37" s="138" t="s">
        <v>14</v>
      </c>
      <c r="D37" s="142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72">
        <f t="shared" si="0"/>
        <v>0</v>
      </c>
      <c r="AO37" s="68"/>
      <c r="AP37" s="69"/>
      <c r="AQ37" s="70"/>
      <c r="AR37" s="71"/>
      <c r="AS37" s="176"/>
      <c r="AT37" s="72"/>
      <c r="AU37" s="68">
        <v>1983</v>
      </c>
      <c r="AV37" s="69">
        <v>11845</v>
      </c>
      <c r="AW37" s="69">
        <v>3650422</v>
      </c>
      <c r="AX37" s="69">
        <v>39</v>
      </c>
      <c r="AY37" s="69">
        <v>970</v>
      </c>
      <c r="AZ37" s="70">
        <v>298707</v>
      </c>
      <c r="BA37" s="71"/>
      <c r="BB37" s="72"/>
      <c r="BC37" s="116">
        <f t="shared" si="1"/>
        <v>3949129</v>
      </c>
      <c r="BD37" s="5"/>
    </row>
    <row r="38" spans="1:56" s="1" customFormat="1" x14ac:dyDescent="0.25">
      <c r="A38" s="282">
        <v>4</v>
      </c>
      <c r="B38" s="282">
        <v>790004</v>
      </c>
      <c r="C38" s="120" t="s">
        <v>13</v>
      </c>
      <c r="D38" s="130">
        <v>11</v>
      </c>
      <c r="E38" s="30">
        <v>6836</v>
      </c>
      <c r="F38" s="30">
        <v>1</v>
      </c>
      <c r="G38" s="30">
        <v>1284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>
        <v>20</v>
      </c>
      <c r="AK38" s="30">
        <v>28525</v>
      </c>
      <c r="AL38" s="30"/>
      <c r="AM38" s="30"/>
      <c r="AN38" s="40">
        <f t="shared" si="0"/>
        <v>36645</v>
      </c>
      <c r="AO38" s="39">
        <v>125</v>
      </c>
      <c r="AP38" s="31"/>
      <c r="AQ38" s="40">
        <f>7789284-27004</f>
        <v>7762280</v>
      </c>
      <c r="AR38" s="35">
        <v>3</v>
      </c>
      <c r="AS38" s="169"/>
      <c r="AT38" s="49">
        <v>307567</v>
      </c>
      <c r="AU38" s="39"/>
      <c r="AV38" s="31"/>
      <c r="AW38" s="31"/>
      <c r="AX38" s="31"/>
      <c r="AY38" s="31"/>
      <c r="AZ38" s="40"/>
      <c r="BA38" s="35"/>
      <c r="BB38" s="49"/>
      <c r="BC38" s="83">
        <f>AN38+AQ38+AT38+AW38+BB38+AZ38</f>
        <v>8106492</v>
      </c>
      <c r="BD38" s="5"/>
    </row>
    <row r="39" spans="1:56" s="1" customFormat="1" ht="31.5" x14ac:dyDescent="0.25">
      <c r="A39" s="283"/>
      <c r="B39" s="283"/>
      <c r="C39" s="214" t="s">
        <v>180</v>
      </c>
      <c r="D39" s="143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52">
        <f t="shared" si="0"/>
        <v>0</v>
      </c>
      <c r="AO39" s="47"/>
      <c r="AP39" s="29"/>
      <c r="AQ39" s="48"/>
      <c r="AR39" s="38"/>
      <c r="AS39" s="171"/>
      <c r="AT39" s="52"/>
      <c r="AU39" s="47"/>
      <c r="AV39" s="29"/>
      <c r="AW39" s="29"/>
      <c r="AX39" s="29"/>
      <c r="AY39" s="29"/>
      <c r="AZ39" s="48"/>
      <c r="BA39" s="38"/>
      <c r="BB39" s="52"/>
      <c r="BC39" s="100">
        <f>AN39+AQ39+AT39+AW39+BB39+AZ39</f>
        <v>0</v>
      </c>
      <c r="BD39" s="5"/>
    </row>
    <row r="40" spans="1:56" s="1" customFormat="1" ht="16.5" thickBot="1" x14ac:dyDescent="0.3">
      <c r="A40" s="284"/>
      <c r="B40" s="284"/>
      <c r="C40" s="121" t="s">
        <v>91</v>
      </c>
      <c r="D40" s="53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>
        <v>28</v>
      </c>
      <c r="AM40" s="26">
        <v>78007</v>
      </c>
      <c r="AN40" s="50">
        <f t="shared" si="0"/>
        <v>78007</v>
      </c>
      <c r="AO40" s="43"/>
      <c r="AP40" s="27"/>
      <c r="AQ40" s="44"/>
      <c r="AR40" s="36"/>
      <c r="AS40" s="170"/>
      <c r="AT40" s="50"/>
      <c r="AU40" s="43"/>
      <c r="AV40" s="27"/>
      <c r="AW40" s="27"/>
      <c r="AX40" s="27"/>
      <c r="AY40" s="27"/>
      <c r="AZ40" s="44"/>
      <c r="BA40" s="36"/>
      <c r="BB40" s="50"/>
      <c r="BC40" s="82">
        <f t="shared" si="1"/>
        <v>78007</v>
      </c>
      <c r="BD40" s="5"/>
    </row>
    <row r="41" spans="1:56" s="1" customFormat="1" x14ac:dyDescent="0.25">
      <c r="A41" s="282">
        <v>5</v>
      </c>
      <c r="B41" s="282">
        <v>790005</v>
      </c>
      <c r="C41" s="120" t="s">
        <v>12</v>
      </c>
      <c r="D41" s="130">
        <v>308</v>
      </c>
      <c r="E41" s="30">
        <v>287969</v>
      </c>
      <c r="F41" s="30">
        <v>73</v>
      </c>
      <c r="G41" s="30">
        <v>249678</v>
      </c>
      <c r="H41" s="30">
        <v>5</v>
      </c>
      <c r="I41" s="30">
        <v>3597</v>
      </c>
      <c r="J41" s="30">
        <v>8</v>
      </c>
      <c r="K41" s="30">
        <v>9220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49">
        <f t="shared" si="0"/>
        <v>550464</v>
      </c>
      <c r="AO41" s="39"/>
      <c r="AP41" s="31"/>
      <c r="AQ41" s="40"/>
      <c r="AR41" s="35"/>
      <c r="AS41" s="169"/>
      <c r="AT41" s="49"/>
      <c r="AU41" s="39"/>
      <c r="AV41" s="31"/>
      <c r="AW41" s="31"/>
      <c r="AX41" s="31"/>
      <c r="AY41" s="31"/>
      <c r="AZ41" s="40"/>
      <c r="BA41" s="35"/>
      <c r="BB41" s="49"/>
      <c r="BC41" s="83">
        <f t="shared" si="1"/>
        <v>550464</v>
      </c>
      <c r="BD41" s="5"/>
    </row>
    <row r="42" spans="1:56" s="1" customFormat="1" ht="16.5" thickBot="1" x14ac:dyDescent="0.3">
      <c r="A42" s="284"/>
      <c r="B42" s="284"/>
      <c r="C42" s="121" t="s">
        <v>56</v>
      </c>
      <c r="D42" s="106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>
        <v>388</v>
      </c>
      <c r="AM42" s="32">
        <v>221709</v>
      </c>
      <c r="AN42" s="51">
        <f t="shared" si="0"/>
        <v>221709</v>
      </c>
      <c r="AO42" s="45"/>
      <c r="AP42" s="33"/>
      <c r="AQ42" s="46"/>
      <c r="AR42" s="37"/>
      <c r="AS42" s="174"/>
      <c r="AT42" s="51"/>
      <c r="AU42" s="45"/>
      <c r="AV42" s="33"/>
      <c r="AW42" s="33"/>
      <c r="AX42" s="33"/>
      <c r="AY42" s="33"/>
      <c r="AZ42" s="46"/>
      <c r="BA42" s="37"/>
      <c r="BB42" s="51"/>
      <c r="BC42" s="84">
        <f t="shared" si="1"/>
        <v>221709</v>
      </c>
      <c r="BD42" s="5"/>
    </row>
    <row r="43" spans="1:56" s="1" customFormat="1" x14ac:dyDescent="0.25">
      <c r="A43" s="282">
        <v>6</v>
      </c>
      <c r="B43" s="282">
        <v>790008</v>
      </c>
      <c r="C43" s="147" t="s">
        <v>20</v>
      </c>
      <c r="D43" s="130">
        <v>1867</v>
      </c>
      <c r="E43" s="30">
        <f>1057103-5772</f>
        <v>1051331</v>
      </c>
      <c r="F43" s="30">
        <v>212</v>
      </c>
      <c r="G43" s="30">
        <v>296684</v>
      </c>
      <c r="H43" s="30">
        <v>168</v>
      </c>
      <c r="I43" s="30">
        <v>123945</v>
      </c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>
        <v>350</v>
      </c>
      <c r="Y43" s="30">
        <v>10</v>
      </c>
      <c r="Z43" s="30"/>
      <c r="AA43" s="30">
        <f>9302+121325</f>
        <v>130627</v>
      </c>
      <c r="AB43" s="30">
        <v>4</v>
      </c>
      <c r="AC43" s="30">
        <v>43770</v>
      </c>
      <c r="AD43" s="30"/>
      <c r="AE43" s="30"/>
      <c r="AF43" s="30">
        <v>3</v>
      </c>
      <c r="AG43" s="30">
        <v>6838</v>
      </c>
      <c r="AH43" s="30">
        <v>99</v>
      </c>
      <c r="AI43" s="30">
        <v>320275</v>
      </c>
      <c r="AJ43" s="30">
        <v>53</v>
      </c>
      <c r="AK43" s="30">
        <v>71812</v>
      </c>
      <c r="AL43" s="30"/>
      <c r="AM43" s="30"/>
      <c r="AN43" s="40">
        <f t="shared" si="0"/>
        <v>2045282</v>
      </c>
      <c r="AO43" s="39">
        <v>70</v>
      </c>
      <c r="AP43" s="31"/>
      <c r="AQ43" s="40">
        <v>2978384</v>
      </c>
      <c r="AR43" s="35">
        <v>2</v>
      </c>
      <c r="AS43" s="169"/>
      <c r="AT43" s="49">
        <v>51405</v>
      </c>
      <c r="AU43" s="39">
        <v>425</v>
      </c>
      <c r="AV43" s="31">
        <v>1082</v>
      </c>
      <c r="AW43" s="31">
        <v>316593</v>
      </c>
      <c r="AX43" s="31"/>
      <c r="AY43" s="31"/>
      <c r="AZ43" s="40"/>
      <c r="BA43" s="35"/>
      <c r="BB43" s="49"/>
      <c r="BC43" s="83">
        <f t="shared" si="1"/>
        <v>5391664</v>
      </c>
      <c r="BD43" s="5"/>
    </row>
    <row r="44" spans="1:56" s="1" customFormat="1" ht="31.5" x14ac:dyDescent="0.25">
      <c r="A44" s="283"/>
      <c r="B44" s="283"/>
      <c r="C44" s="93" t="s">
        <v>190</v>
      </c>
      <c r="D44" s="143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44">
        <f t="shared" si="0"/>
        <v>0</v>
      </c>
      <c r="AO44" s="47"/>
      <c r="AP44" s="29"/>
      <c r="AQ44" s="48"/>
      <c r="AR44" s="38"/>
      <c r="AS44" s="171"/>
      <c r="AT44" s="52"/>
      <c r="AU44" s="47"/>
      <c r="AV44" s="29"/>
      <c r="AW44" s="29"/>
      <c r="AX44" s="29"/>
      <c r="AY44" s="29"/>
      <c r="AZ44" s="48"/>
      <c r="BA44" s="38"/>
      <c r="BB44" s="52"/>
      <c r="BC44" s="100">
        <f t="shared" si="1"/>
        <v>0</v>
      </c>
      <c r="BD44" s="5"/>
    </row>
    <row r="45" spans="1:56" s="1" customFormat="1" x14ac:dyDescent="0.25">
      <c r="A45" s="283"/>
      <c r="B45" s="283"/>
      <c r="C45" s="134" t="s">
        <v>191</v>
      </c>
      <c r="D45" s="143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52">
        <f t="shared" si="0"/>
        <v>0</v>
      </c>
      <c r="AO45" s="47"/>
      <c r="AP45" s="29"/>
      <c r="AQ45" s="48"/>
      <c r="AR45" s="38"/>
      <c r="AS45" s="171"/>
      <c r="AT45" s="52"/>
      <c r="AU45" s="47"/>
      <c r="AV45" s="29"/>
      <c r="AW45" s="29"/>
      <c r="AX45" s="29"/>
      <c r="AY45" s="29"/>
      <c r="AZ45" s="48"/>
      <c r="BA45" s="38"/>
      <c r="BB45" s="52"/>
      <c r="BC45" s="100">
        <f t="shared" si="1"/>
        <v>0</v>
      </c>
      <c r="BD45" s="5"/>
    </row>
    <row r="46" spans="1:56" s="1" customFormat="1" x14ac:dyDescent="0.25">
      <c r="A46" s="283"/>
      <c r="B46" s="283"/>
      <c r="C46" s="134" t="s">
        <v>60</v>
      </c>
      <c r="D46" s="53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>
        <v>18</v>
      </c>
      <c r="AM46" s="26">
        <v>1617</v>
      </c>
      <c r="AN46" s="50">
        <f t="shared" si="0"/>
        <v>1617</v>
      </c>
      <c r="AO46" s="43"/>
      <c r="AP46" s="27"/>
      <c r="AQ46" s="44"/>
      <c r="AR46" s="36"/>
      <c r="AS46" s="170"/>
      <c r="AT46" s="50"/>
      <c r="AU46" s="43"/>
      <c r="AV46" s="27"/>
      <c r="AW46" s="27"/>
      <c r="AX46" s="27"/>
      <c r="AY46" s="27"/>
      <c r="AZ46" s="44"/>
      <c r="BA46" s="36"/>
      <c r="BB46" s="50"/>
      <c r="BC46" s="82">
        <f t="shared" si="1"/>
        <v>1617</v>
      </c>
      <c r="BD46" s="5"/>
    </row>
    <row r="47" spans="1:56" s="1" customFormat="1" x14ac:dyDescent="0.25">
      <c r="A47" s="283"/>
      <c r="B47" s="283"/>
      <c r="C47" s="93" t="s">
        <v>75</v>
      </c>
      <c r="D47" s="53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>
        <v>6</v>
      </c>
      <c r="AM47" s="26">
        <v>5618</v>
      </c>
      <c r="AN47" s="50">
        <f t="shared" si="0"/>
        <v>5618</v>
      </c>
      <c r="AO47" s="43"/>
      <c r="AP47" s="27"/>
      <c r="AQ47" s="44"/>
      <c r="AR47" s="36"/>
      <c r="AS47" s="170"/>
      <c r="AT47" s="50"/>
      <c r="AU47" s="43"/>
      <c r="AV47" s="27"/>
      <c r="AW47" s="27"/>
      <c r="AX47" s="27"/>
      <c r="AY47" s="27"/>
      <c r="AZ47" s="44"/>
      <c r="BA47" s="36"/>
      <c r="BB47" s="50"/>
      <c r="BC47" s="82">
        <f t="shared" si="1"/>
        <v>5618</v>
      </c>
      <c r="BD47" s="5"/>
    </row>
    <row r="48" spans="1:56" s="1" customFormat="1" ht="16.5" thickBot="1" x14ac:dyDescent="0.3">
      <c r="A48" s="284"/>
      <c r="B48" s="284"/>
      <c r="C48" s="121" t="s">
        <v>148</v>
      </c>
      <c r="D48" s="53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50">
        <f t="shared" si="0"/>
        <v>0</v>
      </c>
      <c r="AO48" s="43"/>
      <c r="AP48" s="27"/>
      <c r="AQ48" s="44"/>
      <c r="AR48" s="36"/>
      <c r="AS48" s="170"/>
      <c r="AT48" s="50"/>
      <c r="AU48" s="43"/>
      <c r="AV48" s="27"/>
      <c r="AW48" s="27"/>
      <c r="AX48" s="27"/>
      <c r="AY48" s="27"/>
      <c r="AZ48" s="44"/>
      <c r="BA48" s="36"/>
      <c r="BB48" s="50"/>
      <c r="BC48" s="82">
        <f t="shared" si="1"/>
        <v>0</v>
      </c>
      <c r="BD48" s="5"/>
    </row>
    <row r="49" spans="1:56" s="1" customFormat="1" x14ac:dyDescent="0.25">
      <c r="A49" s="282">
        <v>7</v>
      </c>
      <c r="B49" s="282">
        <v>790009</v>
      </c>
      <c r="C49" s="145" t="s">
        <v>21</v>
      </c>
      <c r="D49" s="130">
        <v>472</v>
      </c>
      <c r="E49" s="30">
        <v>256656</v>
      </c>
      <c r="F49" s="30">
        <v>75</v>
      </c>
      <c r="G49" s="30">
        <v>102632</v>
      </c>
      <c r="H49" s="30">
        <v>23</v>
      </c>
      <c r="I49" s="30">
        <v>6645</v>
      </c>
      <c r="J49" s="30">
        <v>4</v>
      </c>
      <c r="K49" s="30">
        <v>3821</v>
      </c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>
        <v>180</v>
      </c>
      <c r="Y49" s="30">
        <v>47</v>
      </c>
      <c r="Z49" s="30"/>
      <c r="AA49" s="30">
        <f>43933+73966</f>
        <v>117899</v>
      </c>
      <c r="AB49" s="30">
        <v>22</v>
      </c>
      <c r="AC49" s="30">
        <v>79324</v>
      </c>
      <c r="AD49" s="30"/>
      <c r="AE49" s="30"/>
      <c r="AF49" s="30">
        <v>5</v>
      </c>
      <c r="AG49" s="30">
        <v>8536</v>
      </c>
      <c r="AH49" s="30">
        <v>56</v>
      </c>
      <c r="AI49" s="30">
        <v>172246</v>
      </c>
      <c r="AJ49" s="30">
        <v>25</v>
      </c>
      <c r="AK49" s="30">
        <v>33874</v>
      </c>
      <c r="AL49" s="30"/>
      <c r="AM49" s="30"/>
      <c r="AN49" s="40">
        <f>E49+G49+M49+O49+Q49+S49+AA49+AC49+AE49+AG49+AI49+AK49+AM49+I49+K49</f>
        <v>781633</v>
      </c>
      <c r="AO49" s="39">
        <v>67</v>
      </c>
      <c r="AP49" s="31"/>
      <c r="AQ49" s="40">
        <v>2308343</v>
      </c>
      <c r="AR49" s="35"/>
      <c r="AS49" s="169"/>
      <c r="AT49" s="49"/>
      <c r="AU49" s="39">
        <v>59</v>
      </c>
      <c r="AV49" s="31">
        <v>276</v>
      </c>
      <c r="AW49" s="31">
        <v>80679</v>
      </c>
      <c r="AX49" s="31"/>
      <c r="AY49" s="31"/>
      <c r="AZ49" s="40"/>
      <c r="BA49" s="35"/>
      <c r="BB49" s="49"/>
      <c r="BC49" s="83">
        <f>AN49+AQ49+AT49+AW49+BB49+AZ49</f>
        <v>3170655</v>
      </c>
      <c r="BD49" s="5"/>
    </row>
    <row r="50" spans="1:56" s="1" customFormat="1" ht="31.5" x14ac:dyDescent="0.25">
      <c r="A50" s="283"/>
      <c r="B50" s="283"/>
      <c r="C50" s="93" t="s">
        <v>190</v>
      </c>
      <c r="D50" s="143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44">
        <f t="shared" ref="AN50:AN51" si="2">E50+G50+M50+O50+Q50+S50+AA50+AC50+AE50+AG50+AI50+AK50+AM50+I50+K50</f>
        <v>0</v>
      </c>
      <c r="AO50" s="47"/>
      <c r="AP50" s="29"/>
      <c r="AQ50" s="48"/>
      <c r="AR50" s="38"/>
      <c r="AS50" s="171"/>
      <c r="AT50" s="52"/>
      <c r="AU50" s="47"/>
      <c r="AV50" s="29"/>
      <c r="AW50" s="29"/>
      <c r="AX50" s="29"/>
      <c r="AY50" s="29"/>
      <c r="AZ50" s="48"/>
      <c r="BA50" s="38"/>
      <c r="BB50" s="52"/>
      <c r="BC50" s="82">
        <f t="shared" ref="BC50:BC51" si="3">AN50+AQ50+AT50+AW50+BB50+AZ50</f>
        <v>0</v>
      </c>
      <c r="BD50" s="5"/>
    </row>
    <row r="51" spans="1:56" s="1" customFormat="1" x14ac:dyDescent="0.25">
      <c r="A51" s="283"/>
      <c r="B51" s="283"/>
      <c r="C51" s="134" t="s">
        <v>191</v>
      </c>
      <c r="D51" s="143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52">
        <f t="shared" si="2"/>
        <v>0</v>
      </c>
      <c r="AO51" s="47"/>
      <c r="AP51" s="29"/>
      <c r="AQ51" s="48"/>
      <c r="AR51" s="38"/>
      <c r="AS51" s="171"/>
      <c r="AT51" s="52"/>
      <c r="AU51" s="47"/>
      <c r="AV51" s="29"/>
      <c r="AW51" s="29"/>
      <c r="AX51" s="29"/>
      <c r="AY51" s="29"/>
      <c r="AZ51" s="48"/>
      <c r="BA51" s="38"/>
      <c r="BB51" s="52"/>
      <c r="BC51" s="100">
        <f t="shared" si="3"/>
        <v>0</v>
      </c>
      <c r="BD51" s="5"/>
    </row>
    <row r="52" spans="1:56" s="1" customFormat="1" x14ac:dyDescent="0.25">
      <c r="A52" s="283"/>
      <c r="B52" s="283"/>
      <c r="C52" s="134" t="s">
        <v>60</v>
      </c>
      <c r="D52" s="53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>
        <v>76</v>
      </c>
      <c r="AM52" s="26">
        <v>7904</v>
      </c>
      <c r="AN52" s="50">
        <f>E52+G52+M52+O52+Q52+S52+AA52+AC52+AE52+AG52+AI52+AK52+AM52+I52+K52</f>
        <v>7904</v>
      </c>
      <c r="AO52" s="43"/>
      <c r="AP52" s="27"/>
      <c r="AQ52" s="44"/>
      <c r="AR52" s="36"/>
      <c r="AS52" s="170"/>
      <c r="AT52" s="50"/>
      <c r="AU52" s="43"/>
      <c r="AV52" s="27"/>
      <c r="AW52" s="27"/>
      <c r="AX52" s="27"/>
      <c r="AY52" s="27"/>
      <c r="AZ52" s="44"/>
      <c r="BA52" s="36"/>
      <c r="BB52" s="50"/>
      <c r="BC52" s="82">
        <f t="shared" si="1"/>
        <v>7904</v>
      </c>
      <c r="BD52" s="5"/>
    </row>
    <row r="53" spans="1:56" s="1" customFormat="1" x14ac:dyDescent="0.25">
      <c r="A53" s="283"/>
      <c r="B53" s="283"/>
      <c r="C53" s="134" t="s">
        <v>56</v>
      </c>
      <c r="D53" s="53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>
        <v>4</v>
      </c>
      <c r="AM53" s="26">
        <v>3735</v>
      </c>
      <c r="AN53" s="50">
        <f>E53+G53+M53+O53+Q53+S53+AA53+AC53+AE53+AG53+AI53+AK53+AM53+I53+K53</f>
        <v>3735</v>
      </c>
      <c r="AO53" s="43"/>
      <c r="AP53" s="27"/>
      <c r="AQ53" s="44"/>
      <c r="AR53" s="36"/>
      <c r="AS53" s="170"/>
      <c r="AT53" s="50"/>
      <c r="AU53" s="43"/>
      <c r="AV53" s="27"/>
      <c r="AW53" s="27"/>
      <c r="AX53" s="27"/>
      <c r="AY53" s="27"/>
      <c r="AZ53" s="44"/>
      <c r="BA53" s="36"/>
      <c r="BB53" s="50"/>
      <c r="BC53" s="82">
        <f>AN53+AQ53+AT53+AW53+BB53+AZ53</f>
        <v>3735</v>
      </c>
      <c r="BD53" s="5"/>
    </row>
    <row r="54" spans="1:56" s="1" customFormat="1" ht="31.5" x14ac:dyDescent="0.25">
      <c r="A54" s="283"/>
      <c r="B54" s="283"/>
      <c r="C54" s="93" t="s">
        <v>180</v>
      </c>
      <c r="D54" s="144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50">
        <f t="shared" ref="AN54:AN55" si="4">E54+G54+M54+O54+Q54+S54+AA54+AC54+AE54+AG54+AI54+AK54+AM54+I54+K54</f>
        <v>0</v>
      </c>
      <c r="AO54" s="62"/>
      <c r="AP54" s="63"/>
      <c r="AQ54" s="64"/>
      <c r="AR54" s="65"/>
      <c r="AS54" s="172"/>
      <c r="AT54" s="66"/>
      <c r="AU54" s="62"/>
      <c r="AV54" s="63"/>
      <c r="AW54" s="63"/>
      <c r="AX54" s="63"/>
      <c r="AY54" s="63"/>
      <c r="AZ54" s="64"/>
      <c r="BA54" s="65"/>
      <c r="BB54" s="66"/>
      <c r="BC54" s="82">
        <f>AN54+AQ54+AT54+AW54+BB54+AZ54</f>
        <v>0</v>
      </c>
      <c r="BD54" s="5"/>
    </row>
    <row r="55" spans="1:56" s="1" customFormat="1" ht="16.5" thickBot="1" x14ac:dyDescent="0.3">
      <c r="A55" s="284"/>
      <c r="B55" s="284"/>
      <c r="C55" s="146" t="s">
        <v>148</v>
      </c>
      <c r="D55" s="106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50">
        <f t="shared" si="4"/>
        <v>0</v>
      </c>
      <c r="AO55" s="45"/>
      <c r="AP55" s="33"/>
      <c r="AQ55" s="46"/>
      <c r="AR55" s="37"/>
      <c r="AS55" s="174"/>
      <c r="AT55" s="51"/>
      <c r="AU55" s="45"/>
      <c r="AV55" s="33"/>
      <c r="AW55" s="33"/>
      <c r="AX55" s="33"/>
      <c r="AY55" s="33"/>
      <c r="AZ55" s="46"/>
      <c r="BA55" s="37"/>
      <c r="BB55" s="51"/>
      <c r="BC55" s="82">
        <f t="shared" si="1"/>
        <v>0</v>
      </c>
      <c r="BD55" s="5"/>
    </row>
    <row r="56" spans="1:56" s="1" customFormat="1" x14ac:dyDescent="0.25">
      <c r="A56" s="282">
        <v>8</v>
      </c>
      <c r="B56" s="282">
        <v>790010</v>
      </c>
      <c r="C56" s="147" t="s">
        <v>17</v>
      </c>
      <c r="D56" s="130">
        <v>497</v>
      </c>
      <c r="E56" s="30">
        <v>338811</v>
      </c>
      <c r="F56" s="30">
        <v>212</v>
      </c>
      <c r="G56" s="30">
        <v>271847</v>
      </c>
      <c r="H56" s="30">
        <v>7</v>
      </c>
      <c r="I56" s="30">
        <v>2624</v>
      </c>
      <c r="J56" s="30">
        <v>4</v>
      </c>
      <c r="K56" s="30">
        <v>8759</v>
      </c>
      <c r="L56" s="30"/>
      <c r="M56" s="30"/>
      <c r="N56" s="30"/>
      <c r="O56" s="30"/>
      <c r="P56" s="30"/>
      <c r="Q56" s="30"/>
      <c r="R56" s="30">
        <v>2</v>
      </c>
      <c r="S56" s="30">
        <v>8745</v>
      </c>
      <c r="T56" s="30"/>
      <c r="U56" s="30"/>
      <c r="V56" s="30"/>
      <c r="W56" s="30"/>
      <c r="X56" s="30">
        <v>107</v>
      </c>
      <c r="Y56" s="30">
        <v>19</v>
      </c>
      <c r="Z56" s="30">
        <v>8</v>
      </c>
      <c r="AA56" s="30">
        <v>96268</v>
      </c>
      <c r="AB56" s="30">
        <v>17</v>
      </c>
      <c r="AC56" s="30">
        <v>68397</v>
      </c>
      <c r="AD56" s="30"/>
      <c r="AE56" s="30"/>
      <c r="AF56" s="30">
        <v>41</v>
      </c>
      <c r="AG56" s="30">
        <v>11777</v>
      </c>
      <c r="AH56" s="30">
        <v>59</v>
      </c>
      <c r="AI56" s="30">
        <v>181885</v>
      </c>
      <c r="AJ56" s="30">
        <v>203</v>
      </c>
      <c r="AK56" s="30">
        <v>275051</v>
      </c>
      <c r="AL56" s="30"/>
      <c r="AM56" s="30"/>
      <c r="AN56" s="40">
        <f>E56+G56+M56+O56+Q56+S56+AA56+AC56+AE56+AG56+AI56+AK56+AM56+I56+K56</f>
        <v>1264164</v>
      </c>
      <c r="AO56" s="39">
        <v>19</v>
      </c>
      <c r="AP56" s="31"/>
      <c r="AQ56" s="40">
        <v>615276</v>
      </c>
      <c r="AR56" s="35">
        <v>2</v>
      </c>
      <c r="AS56" s="169"/>
      <c r="AT56" s="49">
        <v>34534</v>
      </c>
      <c r="AU56" s="39">
        <v>90</v>
      </c>
      <c r="AV56" s="31">
        <v>310</v>
      </c>
      <c r="AW56" s="31">
        <v>90604</v>
      </c>
      <c r="AX56" s="31"/>
      <c r="AY56" s="31"/>
      <c r="AZ56" s="40"/>
      <c r="BA56" s="35"/>
      <c r="BB56" s="49"/>
      <c r="BC56" s="83">
        <f t="shared" si="1"/>
        <v>2004578</v>
      </c>
      <c r="BD56" s="5"/>
    </row>
    <row r="57" spans="1:56" s="1" customFormat="1" ht="31.5" x14ac:dyDescent="0.25">
      <c r="A57" s="283"/>
      <c r="B57" s="283"/>
      <c r="C57" s="93" t="s">
        <v>190</v>
      </c>
      <c r="D57" s="143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44">
        <f t="shared" ref="AN57:AN58" si="5">E57+G57+M57+O57+Q57+S57+AA57+AC57+AE57+AG57+AI57+AK57+AM57+I57+K57</f>
        <v>0</v>
      </c>
      <c r="AO57" s="47"/>
      <c r="AP57" s="29"/>
      <c r="AQ57" s="48"/>
      <c r="AR57" s="38"/>
      <c r="AS57" s="171"/>
      <c r="AT57" s="52"/>
      <c r="AU57" s="47"/>
      <c r="AV57" s="29"/>
      <c r="AW57" s="29"/>
      <c r="AX57" s="29"/>
      <c r="AY57" s="29"/>
      <c r="AZ57" s="48"/>
      <c r="BA57" s="38"/>
      <c r="BB57" s="52"/>
      <c r="BC57" s="82">
        <f t="shared" si="1"/>
        <v>0</v>
      </c>
      <c r="BD57" s="5"/>
    </row>
    <row r="58" spans="1:56" s="1" customFormat="1" x14ac:dyDescent="0.25">
      <c r="A58" s="283"/>
      <c r="B58" s="283"/>
      <c r="C58" s="134" t="s">
        <v>191</v>
      </c>
      <c r="D58" s="143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52">
        <f t="shared" si="5"/>
        <v>0</v>
      </c>
      <c r="AO58" s="47"/>
      <c r="AP58" s="29"/>
      <c r="AQ58" s="48"/>
      <c r="AR58" s="38"/>
      <c r="AS58" s="171"/>
      <c r="AT58" s="52"/>
      <c r="AU58" s="47"/>
      <c r="AV58" s="29"/>
      <c r="AW58" s="29"/>
      <c r="AX58" s="29"/>
      <c r="AY58" s="29"/>
      <c r="AZ58" s="48"/>
      <c r="BA58" s="38"/>
      <c r="BB58" s="52"/>
      <c r="BC58" s="100">
        <f t="shared" si="1"/>
        <v>0</v>
      </c>
      <c r="BD58" s="5"/>
    </row>
    <row r="59" spans="1:56" s="1" customFormat="1" x14ac:dyDescent="0.25">
      <c r="A59" s="283"/>
      <c r="B59" s="283"/>
      <c r="C59" s="134" t="s">
        <v>60</v>
      </c>
      <c r="D59" s="53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>
        <v>31</v>
      </c>
      <c r="AM59" s="26">
        <v>5163</v>
      </c>
      <c r="AN59" s="50">
        <f>E59+G59+M59+O59+Q59+S59+AA59+AC59+AE59+AG59+AI59+AK59+AM59+I59+K59</f>
        <v>5163</v>
      </c>
      <c r="AO59" s="43"/>
      <c r="AP59" s="27"/>
      <c r="AQ59" s="44"/>
      <c r="AR59" s="36"/>
      <c r="AS59" s="170"/>
      <c r="AT59" s="50"/>
      <c r="AU59" s="43"/>
      <c r="AV59" s="27"/>
      <c r="AW59" s="27"/>
      <c r="AX59" s="27"/>
      <c r="AY59" s="27"/>
      <c r="AZ59" s="44"/>
      <c r="BA59" s="36"/>
      <c r="BB59" s="50"/>
      <c r="BC59" s="82">
        <f t="shared" si="1"/>
        <v>5163</v>
      </c>
      <c r="BD59" s="5"/>
    </row>
    <row r="60" spans="1:56" s="1" customFormat="1" x14ac:dyDescent="0.25">
      <c r="A60" s="283"/>
      <c r="B60" s="283"/>
      <c r="C60" s="93" t="s">
        <v>74</v>
      </c>
      <c r="D60" s="53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>
        <v>4</v>
      </c>
      <c r="AM60" s="26">
        <v>4264</v>
      </c>
      <c r="AN60" s="50">
        <f>E60+G60+M60+O60+Q60+S60+AA60+AC60+AE60+AG60+AI60+AK60+AM60+I60+K60</f>
        <v>4264</v>
      </c>
      <c r="AO60" s="43"/>
      <c r="AP60" s="27"/>
      <c r="AQ60" s="44"/>
      <c r="AR60" s="36"/>
      <c r="AS60" s="170"/>
      <c r="AT60" s="50"/>
      <c r="AU60" s="43"/>
      <c r="AV60" s="27"/>
      <c r="AW60" s="27"/>
      <c r="AX60" s="27"/>
      <c r="AY60" s="27"/>
      <c r="AZ60" s="44"/>
      <c r="BA60" s="36"/>
      <c r="BB60" s="50"/>
      <c r="BC60" s="82">
        <f t="shared" si="1"/>
        <v>4264</v>
      </c>
      <c r="BD60" s="5"/>
    </row>
    <row r="61" spans="1:56" s="1" customFormat="1" x14ac:dyDescent="0.25">
      <c r="A61" s="283"/>
      <c r="B61" s="283"/>
      <c r="C61" s="93" t="s">
        <v>75</v>
      </c>
      <c r="D61" s="53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>
        <v>17</v>
      </c>
      <c r="AM61" s="26">
        <v>22579</v>
      </c>
      <c r="AN61" s="50">
        <f>E61+G61+M61+O61+Q61+S61+AA61+AC61+AE61+AG61+AI61+AK61+AM61+I61+K61</f>
        <v>22579</v>
      </c>
      <c r="AO61" s="43"/>
      <c r="AP61" s="27"/>
      <c r="AQ61" s="44"/>
      <c r="AR61" s="36"/>
      <c r="AS61" s="170"/>
      <c r="AT61" s="50"/>
      <c r="AU61" s="43"/>
      <c r="AV61" s="27"/>
      <c r="AW61" s="27"/>
      <c r="AX61" s="27"/>
      <c r="AY61" s="27"/>
      <c r="AZ61" s="44"/>
      <c r="BA61" s="36"/>
      <c r="BB61" s="50"/>
      <c r="BC61" s="82">
        <f t="shared" si="1"/>
        <v>22579</v>
      </c>
      <c r="BD61" s="5"/>
    </row>
    <row r="62" spans="1:56" s="1" customFormat="1" x14ac:dyDescent="0.25">
      <c r="A62" s="283"/>
      <c r="B62" s="283"/>
      <c r="C62" s="93" t="s">
        <v>56</v>
      </c>
      <c r="D62" s="53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50">
        <f>E62+G62+M62+O62+Q62+S62+AA62+AC62+AE62+AG62+AI62+AK62+AM62+I62+K62</f>
        <v>0</v>
      </c>
      <c r="AO62" s="43"/>
      <c r="AP62" s="27"/>
      <c r="AQ62" s="44"/>
      <c r="AR62" s="36"/>
      <c r="AS62" s="170"/>
      <c r="AT62" s="50"/>
      <c r="AU62" s="43"/>
      <c r="AV62" s="27"/>
      <c r="AW62" s="27"/>
      <c r="AX62" s="27"/>
      <c r="AY62" s="27"/>
      <c r="AZ62" s="44"/>
      <c r="BA62" s="36"/>
      <c r="BB62" s="50"/>
      <c r="BC62" s="82">
        <f t="shared" si="1"/>
        <v>0</v>
      </c>
      <c r="BD62" s="5"/>
    </row>
    <row r="63" spans="1:56" s="1" customFormat="1" ht="31.5" x14ac:dyDescent="0.25">
      <c r="A63" s="283"/>
      <c r="B63" s="283"/>
      <c r="C63" s="93" t="s">
        <v>180</v>
      </c>
      <c r="D63" s="53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50">
        <f t="shared" ref="AN63:AN88" si="6">E63+G63+M63+O63+Q63+S63+AA63+AC63+AE63+AG63+AI63+AK63+AM63+I63+K63</f>
        <v>0</v>
      </c>
      <c r="AO63" s="43"/>
      <c r="AP63" s="27"/>
      <c r="AQ63" s="44"/>
      <c r="AR63" s="36"/>
      <c r="AS63" s="170"/>
      <c r="AT63" s="50"/>
      <c r="AU63" s="43"/>
      <c r="AV63" s="27"/>
      <c r="AW63" s="27"/>
      <c r="AX63" s="27"/>
      <c r="AY63" s="27"/>
      <c r="AZ63" s="44"/>
      <c r="BA63" s="36"/>
      <c r="BB63" s="50"/>
      <c r="BC63" s="82">
        <f t="shared" si="1"/>
        <v>0</v>
      </c>
      <c r="BD63" s="5"/>
    </row>
    <row r="64" spans="1:56" s="1" customFormat="1" ht="16.5" thickBot="1" x14ac:dyDescent="0.3">
      <c r="A64" s="284"/>
      <c r="B64" s="284"/>
      <c r="C64" s="121" t="s">
        <v>148</v>
      </c>
      <c r="D64" s="53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50">
        <f t="shared" si="6"/>
        <v>0</v>
      </c>
      <c r="AO64" s="43"/>
      <c r="AP64" s="27"/>
      <c r="AQ64" s="44"/>
      <c r="AR64" s="36"/>
      <c r="AS64" s="170"/>
      <c r="AT64" s="50"/>
      <c r="AU64" s="43"/>
      <c r="AV64" s="27"/>
      <c r="AW64" s="27"/>
      <c r="AX64" s="27"/>
      <c r="AY64" s="27"/>
      <c r="AZ64" s="44"/>
      <c r="BA64" s="36"/>
      <c r="BB64" s="50"/>
      <c r="BC64" s="82">
        <f t="shared" si="1"/>
        <v>0</v>
      </c>
      <c r="BD64" s="5"/>
    </row>
    <row r="65" spans="1:56" s="1" customFormat="1" x14ac:dyDescent="0.25">
      <c r="A65" s="282">
        <v>9</v>
      </c>
      <c r="B65" s="282">
        <v>790011</v>
      </c>
      <c r="C65" s="145" t="s">
        <v>18</v>
      </c>
      <c r="D65" s="130">
        <v>15430</v>
      </c>
      <c r="E65" s="30">
        <v>8023381</v>
      </c>
      <c r="F65" s="30">
        <v>2480</v>
      </c>
      <c r="G65" s="30">
        <f>3457396-2171</f>
        <v>3455225</v>
      </c>
      <c r="H65" s="30">
        <v>1010</v>
      </c>
      <c r="I65" s="30">
        <v>292733</v>
      </c>
      <c r="J65" s="30">
        <v>3</v>
      </c>
      <c r="K65" s="30">
        <v>2866</v>
      </c>
      <c r="L65" s="30">
        <v>8</v>
      </c>
      <c r="M65" s="30">
        <v>16607</v>
      </c>
      <c r="N65" s="30"/>
      <c r="O65" s="30"/>
      <c r="P65" s="30">
        <v>36</v>
      </c>
      <c r="Q65" s="30">
        <f>70722-2357</f>
        <v>68365</v>
      </c>
      <c r="R65" s="30">
        <v>66</v>
      </c>
      <c r="S65" s="30">
        <v>288560</v>
      </c>
      <c r="T65" s="30">
        <v>18</v>
      </c>
      <c r="U65" s="30">
        <v>35746</v>
      </c>
      <c r="V65" s="30">
        <v>46</v>
      </c>
      <c r="W65" s="30">
        <v>85741</v>
      </c>
      <c r="X65" s="30">
        <v>1914</v>
      </c>
      <c r="Y65" s="30">
        <v>470</v>
      </c>
      <c r="Z65" s="30">
        <v>37</v>
      </c>
      <c r="AA65" s="30">
        <f>-3547-1030+437157+922332+50133</f>
        <v>1405045</v>
      </c>
      <c r="AB65" s="30">
        <v>446</v>
      </c>
      <c r="AC65" s="30">
        <v>2095486</v>
      </c>
      <c r="AD65" s="30">
        <v>176</v>
      </c>
      <c r="AE65" s="30">
        <v>296383</v>
      </c>
      <c r="AF65" s="30">
        <v>243</v>
      </c>
      <c r="AG65" s="30">
        <v>167218</v>
      </c>
      <c r="AH65" s="30">
        <v>1348</v>
      </c>
      <c r="AI65" s="30">
        <f>-1527+3801387</f>
        <v>3799860</v>
      </c>
      <c r="AJ65" s="30">
        <v>1718</v>
      </c>
      <c r="AK65" s="30">
        <v>2327770</v>
      </c>
      <c r="AL65" s="30"/>
      <c r="AM65" s="30"/>
      <c r="AN65" s="40">
        <f>E65+G65+M65+O65+Q65+S65+AA65+AC65+AE65+AG65+AI65+AK65+AM65+I65+K65+W65+U65</f>
        <v>22360986</v>
      </c>
      <c r="AO65" s="39">
        <v>267</v>
      </c>
      <c r="AP65" s="31"/>
      <c r="AQ65" s="40">
        <v>10682900</v>
      </c>
      <c r="AR65" s="35">
        <v>58</v>
      </c>
      <c r="AS65" s="169"/>
      <c r="AT65" s="49">
        <v>1275695</v>
      </c>
      <c r="AU65" s="39">
        <v>2346</v>
      </c>
      <c r="AV65" s="31">
        <v>7638</v>
      </c>
      <c r="AW65" s="31">
        <v>2236223</v>
      </c>
      <c r="AX65" s="31"/>
      <c r="AY65" s="31"/>
      <c r="AZ65" s="40"/>
      <c r="BA65" s="35"/>
      <c r="BB65" s="49"/>
      <c r="BC65" s="83">
        <f t="shared" si="1"/>
        <v>36555804</v>
      </c>
      <c r="BD65" s="5"/>
    </row>
    <row r="66" spans="1:56" s="1" customFormat="1" ht="31.5" x14ac:dyDescent="0.25">
      <c r="A66" s="283"/>
      <c r="B66" s="283"/>
      <c r="C66" s="93" t="s">
        <v>190</v>
      </c>
      <c r="D66" s="143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44">
        <f t="shared" si="6"/>
        <v>0</v>
      </c>
      <c r="AO66" s="47"/>
      <c r="AP66" s="29"/>
      <c r="AQ66" s="48"/>
      <c r="AR66" s="38"/>
      <c r="AS66" s="171"/>
      <c r="AT66" s="52"/>
      <c r="AU66" s="47"/>
      <c r="AV66" s="29"/>
      <c r="AW66" s="29"/>
      <c r="AX66" s="29"/>
      <c r="AY66" s="29"/>
      <c r="AZ66" s="48"/>
      <c r="BA66" s="38"/>
      <c r="BB66" s="52"/>
      <c r="BC66" s="82">
        <f t="shared" si="1"/>
        <v>0</v>
      </c>
      <c r="BD66" s="5"/>
    </row>
    <row r="67" spans="1:56" s="1" customFormat="1" x14ac:dyDescent="0.25">
      <c r="A67" s="283"/>
      <c r="B67" s="283"/>
      <c r="C67" s="134" t="s">
        <v>191</v>
      </c>
      <c r="D67" s="143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52">
        <f t="shared" si="6"/>
        <v>0</v>
      </c>
      <c r="AO67" s="47"/>
      <c r="AP67" s="29"/>
      <c r="AQ67" s="48"/>
      <c r="AR67" s="38"/>
      <c r="AS67" s="171"/>
      <c r="AT67" s="52"/>
      <c r="AU67" s="47"/>
      <c r="AV67" s="29"/>
      <c r="AW67" s="29"/>
      <c r="AX67" s="29"/>
      <c r="AY67" s="29"/>
      <c r="AZ67" s="48"/>
      <c r="BA67" s="38"/>
      <c r="BB67" s="52"/>
      <c r="BC67" s="100">
        <f t="shared" si="1"/>
        <v>0</v>
      </c>
      <c r="BD67" s="5"/>
    </row>
    <row r="68" spans="1:56" s="1" customFormat="1" x14ac:dyDescent="0.25">
      <c r="A68" s="283"/>
      <c r="B68" s="283"/>
      <c r="C68" s="93" t="s">
        <v>87</v>
      </c>
      <c r="D68" s="53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>
        <v>396</v>
      </c>
      <c r="AM68" s="26">
        <v>50467</v>
      </c>
      <c r="AN68" s="50">
        <f t="shared" si="6"/>
        <v>50467</v>
      </c>
      <c r="AO68" s="43"/>
      <c r="AP68" s="27"/>
      <c r="AQ68" s="44"/>
      <c r="AR68" s="36"/>
      <c r="AS68" s="170"/>
      <c r="AT68" s="50"/>
      <c r="AU68" s="43"/>
      <c r="AV68" s="27"/>
      <c r="AW68" s="27"/>
      <c r="AX68" s="27"/>
      <c r="AY68" s="27"/>
      <c r="AZ68" s="44"/>
      <c r="BA68" s="36"/>
      <c r="BB68" s="50"/>
      <c r="BC68" s="82">
        <f t="shared" si="1"/>
        <v>50467</v>
      </c>
      <c r="BD68" s="5"/>
    </row>
    <row r="69" spans="1:56" s="1" customFormat="1" x14ac:dyDescent="0.25">
      <c r="A69" s="283"/>
      <c r="B69" s="283"/>
      <c r="C69" s="134" t="s">
        <v>60</v>
      </c>
      <c r="D69" s="53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>
        <v>1048</v>
      </c>
      <c r="AM69" s="26">
        <v>98054</v>
      </c>
      <c r="AN69" s="50">
        <f t="shared" si="6"/>
        <v>98054</v>
      </c>
      <c r="AO69" s="43"/>
      <c r="AP69" s="27"/>
      <c r="AQ69" s="44"/>
      <c r="AR69" s="36"/>
      <c r="AS69" s="170"/>
      <c r="AT69" s="50"/>
      <c r="AU69" s="43"/>
      <c r="AV69" s="27"/>
      <c r="AW69" s="27"/>
      <c r="AX69" s="27"/>
      <c r="AY69" s="27"/>
      <c r="AZ69" s="44"/>
      <c r="BA69" s="36"/>
      <c r="BB69" s="50"/>
      <c r="BC69" s="82">
        <f t="shared" si="1"/>
        <v>98054</v>
      </c>
      <c r="BD69" s="5"/>
    </row>
    <row r="70" spans="1:56" s="1" customFormat="1" x14ac:dyDescent="0.25">
      <c r="A70" s="283"/>
      <c r="B70" s="283"/>
      <c r="C70" s="93" t="s">
        <v>74</v>
      </c>
      <c r="D70" s="53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>
        <v>142</v>
      </c>
      <c r="AM70" s="26">
        <v>182501</v>
      </c>
      <c r="AN70" s="50">
        <f t="shared" si="6"/>
        <v>182501</v>
      </c>
      <c r="AO70" s="43"/>
      <c r="AP70" s="27"/>
      <c r="AQ70" s="44"/>
      <c r="AR70" s="36"/>
      <c r="AS70" s="170"/>
      <c r="AT70" s="50"/>
      <c r="AU70" s="43"/>
      <c r="AV70" s="27"/>
      <c r="AW70" s="27"/>
      <c r="AX70" s="27"/>
      <c r="AY70" s="27"/>
      <c r="AZ70" s="44"/>
      <c r="BA70" s="36"/>
      <c r="BB70" s="50"/>
      <c r="BC70" s="82">
        <f t="shared" si="1"/>
        <v>182501</v>
      </c>
      <c r="BD70" s="5"/>
    </row>
    <row r="71" spans="1:56" s="1" customFormat="1" x14ac:dyDescent="0.25">
      <c r="A71" s="283"/>
      <c r="B71" s="283"/>
      <c r="C71" s="93" t="s">
        <v>75</v>
      </c>
      <c r="D71" s="53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>
        <v>53</v>
      </c>
      <c r="AM71" s="26">
        <v>49626</v>
      </c>
      <c r="AN71" s="50">
        <f t="shared" si="6"/>
        <v>49626</v>
      </c>
      <c r="AO71" s="43"/>
      <c r="AP71" s="27"/>
      <c r="AQ71" s="44"/>
      <c r="AR71" s="36"/>
      <c r="AS71" s="170"/>
      <c r="AT71" s="50"/>
      <c r="AU71" s="43"/>
      <c r="AV71" s="27"/>
      <c r="AW71" s="27"/>
      <c r="AX71" s="27"/>
      <c r="AY71" s="27"/>
      <c r="AZ71" s="44"/>
      <c r="BA71" s="36"/>
      <c r="BB71" s="50"/>
      <c r="BC71" s="82">
        <f t="shared" si="1"/>
        <v>49626</v>
      </c>
      <c r="BD71" s="5"/>
    </row>
    <row r="72" spans="1:56" s="1" customFormat="1" x14ac:dyDescent="0.25">
      <c r="A72" s="283"/>
      <c r="B72" s="283"/>
      <c r="C72" s="93" t="s">
        <v>56</v>
      </c>
      <c r="D72" s="53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>
        <v>10</v>
      </c>
      <c r="AM72" s="26">
        <v>6471</v>
      </c>
      <c r="AN72" s="50">
        <f t="shared" si="6"/>
        <v>6471</v>
      </c>
      <c r="AO72" s="43"/>
      <c r="AP72" s="27"/>
      <c r="AQ72" s="44"/>
      <c r="AR72" s="36"/>
      <c r="AS72" s="170"/>
      <c r="AT72" s="50"/>
      <c r="AU72" s="43"/>
      <c r="AV72" s="27"/>
      <c r="AW72" s="27"/>
      <c r="AX72" s="27"/>
      <c r="AY72" s="27"/>
      <c r="AZ72" s="44"/>
      <c r="BA72" s="36"/>
      <c r="BB72" s="50"/>
      <c r="BC72" s="82">
        <f t="shared" si="1"/>
        <v>6471</v>
      </c>
      <c r="BD72" s="5"/>
    </row>
    <row r="73" spans="1:56" s="1" customFormat="1" x14ac:dyDescent="0.25">
      <c r="A73" s="283"/>
      <c r="B73" s="283"/>
      <c r="C73" s="93" t="s">
        <v>111</v>
      </c>
      <c r="D73" s="53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>
        <v>7</v>
      </c>
      <c r="AM73" s="26">
        <v>17616</v>
      </c>
      <c r="AN73" s="50">
        <f t="shared" si="6"/>
        <v>17616</v>
      </c>
      <c r="AO73" s="43"/>
      <c r="AP73" s="27"/>
      <c r="AQ73" s="44"/>
      <c r="AR73" s="36"/>
      <c r="AS73" s="170"/>
      <c r="AT73" s="50"/>
      <c r="AU73" s="43"/>
      <c r="AV73" s="27"/>
      <c r="AW73" s="27"/>
      <c r="AX73" s="27"/>
      <c r="AY73" s="27"/>
      <c r="AZ73" s="44"/>
      <c r="BA73" s="36"/>
      <c r="BB73" s="50"/>
      <c r="BC73" s="82">
        <f t="shared" si="1"/>
        <v>17616</v>
      </c>
      <c r="BD73" s="5"/>
    </row>
    <row r="74" spans="1:56" s="1" customFormat="1" x14ac:dyDescent="0.25">
      <c r="A74" s="283"/>
      <c r="B74" s="283"/>
      <c r="C74" s="93" t="s">
        <v>112</v>
      </c>
      <c r="D74" s="53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>
        <v>21</v>
      </c>
      <c r="AM74" s="26">
        <v>26424</v>
      </c>
      <c r="AN74" s="50">
        <f t="shared" si="6"/>
        <v>26424</v>
      </c>
      <c r="AO74" s="43"/>
      <c r="AP74" s="27"/>
      <c r="AQ74" s="44"/>
      <c r="AR74" s="36"/>
      <c r="AS74" s="170"/>
      <c r="AT74" s="50"/>
      <c r="AU74" s="43"/>
      <c r="AV74" s="27"/>
      <c r="AW74" s="27"/>
      <c r="AX74" s="27"/>
      <c r="AY74" s="27"/>
      <c r="AZ74" s="44"/>
      <c r="BA74" s="36"/>
      <c r="BB74" s="50"/>
      <c r="BC74" s="82">
        <f t="shared" si="1"/>
        <v>26424</v>
      </c>
      <c r="BD74" s="5"/>
    </row>
    <row r="75" spans="1:56" s="1" customFormat="1" x14ac:dyDescent="0.25">
      <c r="A75" s="283"/>
      <c r="B75" s="283"/>
      <c r="C75" s="146" t="s">
        <v>183</v>
      </c>
      <c r="D75" s="53">
        <v>56</v>
      </c>
      <c r="E75" s="26">
        <v>32775</v>
      </c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50">
        <f t="shared" si="6"/>
        <v>32775</v>
      </c>
      <c r="AO75" s="43"/>
      <c r="AP75" s="27"/>
      <c r="AQ75" s="44"/>
      <c r="AR75" s="36"/>
      <c r="AS75" s="170"/>
      <c r="AT75" s="50"/>
      <c r="AU75" s="43"/>
      <c r="AV75" s="27"/>
      <c r="AW75" s="27"/>
      <c r="AX75" s="27"/>
      <c r="AY75" s="27"/>
      <c r="AZ75" s="44"/>
      <c r="BA75" s="36"/>
      <c r="BB75" s="50"/>
      <c r="BC75" s="82">
        <f t="shared" si="1"/>
        <v>32775</v>
      </c>
      <c r="BD75" s="5"/>
    </row>
    <row r="76" spans="1:56" s="1" customFormat="1" ht="16.5" thickBot="1" x14ac:dyDescent="0.3">
      <c r="A76" s="284"/>
      <c r="B76" s="284"/>
      <c r="C76" s="146" t="s">
        <v>148</v>
      </c>
      <c r="D76" s="53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50">
        <f t="shared" si="6"/>
        <v>0</v>
      </c>
      <c r="AO76" s="43"/>
      <c r="AP76" s="27"/>
      <c r="AQ76" s="44"/>
      <c r="AR76" s="36"/>
      <c r="AS76" s="170"/>
      <c r="AT76" s="50"/>
      <c r="AU76" s="43"/>
      <c r="AV76" s="27"/>
      <c r="AW76" s="27"/>
      <c r="AX76" s="27"/>
      <c r="AY76" s="27"/>
      <c r="AZ76" s="44"/>
      <c r="BA76" s="36"/>
      <c r="BB76" s="50"/>
      <c r="BC76" s="82">
        <f t="shared" si="1"/>
        <v>0</v>
      </c>
      <c r="BD76" s="5"/>
    </row>
    <row r="77" spans="1:56" s="1" customFormat="1" x14ac:dyDescent="0.25">
      <c r="A77" s="282">
        <v>10</v>
      </c>
      <c r="B77" s="282">
        <v>790012</v>
      </c>
      <c r="C77" s="151" t="s">
        <v>19</v>
      </c>
      <c r="D77" s="130">
        <v>5585</v>
      </c>
      <c r="E77" s="30">
        <v>2880206</v>
      </c>
      <c r="F77" s="30">
        <v>579</v>
      </c>
      <c r="G77" s="30">
        <f>726734-2488</f>
        <v>724246</v>
      </c>
      <c r="H77" s="30">
        <v>455</v>
      </c>
      <c r="I77" s="30">
        <v>150950</v>
      </c>
      <c r="J77" s="30"/>
      <c r="K77" s="30"/>
      <c r="L77" s="30">
        <v>3</v>
      </c>
      <c r="M77" s="30">
        <v>6228</v>
      </c>
      <c r="N77" s="30"/>
      <c r="O77" s="30"/>
      <c r="P77" s="30">
        <v>4</v>
      </c>
      <c r="Q77" s="30">
        <f>7858-524</f>
        <v>7334</v>
      </c>
      <c r="R77" s="30">
        <v>8</v>
      </c>
      <c r="S77" s="30">
        <v>34977</v>
      </c>
      <c r="T77" s="30">
        <v>41</v>
      </c>
      <c r="U77" s="30">
        <v>81421</v>
      </c>
      <c r="V77" s="30"/>
      <c r="W77" s="30"/>
      <c r="X77" s="30">
        <v>191</v>
      </c>
      <c r="Y77" s="30">
        <v>124</v>
      </c>
      <c r="Z77" s="30">
        <v>11</v>
      </c>
      <c r="AA77" s="30">
        <f>115335+135875+14905</f>
        <v>266115</v>
      </c>
      <c r="AB77" s="30">
        <v>105</v>
      </c>
      <c r="AC77" s="30">
        <f>593535-6446</f>
        <v>587089</v>
      </c>
      <c r="AD77" s="30">
        <v>7</v>
      </c>
      <c r="AE77" s="30">
        <v>11788</v>
      </c>
      <c r="AF77" s="30">
        <v>155</v>
      </c>
      <c r="AG77" s="30">
        <f>122078-3001</f>
        <v>119077</v>
      </c>
      <c r="AH77" s="30">
        <v>323</v>
      </c>
      <c r="AI77" s="30">
        <f>-5759+922129</f>
        <v>916370</v>
      </c>
      <c r="AJ77" s="30">
        <v>1148</v>
      </c>
      <c r="AK77" s="30">
        <v>1555460</v>
      </c>
      <c r="AL77" s="30"/>
      <c r="AM77" s="30"/>
      <c r="AN77" s="40">
        <f>E77+G77+M77+O77+Q77+S77+AA77+AC77+AE77+AG77+AI77+AK77+AM77+I77+K77+U77</f>
        <v>7341261</v>
      </c>
      <c r="AO77" s="39">
        <v>140</v>
      </c>
      <c r="AP77" s="31"/>
      <c r="AQ77" s="40">
        <f>5872505-31342</f>
        <v>5841163</v>
      </c>
      <c r="AR77" s="35">
        <v>59</v>
      </c>
      <c r="AS77" s="169"/>
      <c r="AT77" s="49">
        <v>1176663</v>
      </c>
      <c r="AU77" s="39">
        <v>1195</v>
      </c>
      <c r="AV77" s="31">
        <v>5711</v>
      </c>
      <c r="AW77" s="31">
        <v>1671998</v>
      </c>
      <c r="AX77" s="31"/>
      <c r="AY77" s="31"/>
      <c r="AZ77" s="40"/>
      <c r="BA77" s="35"/>
      <c r="BB77" s="49"/>
      <c r="BC77" s="83">
        <f>AN77+AQ77+AT77+AW77+BB77+AZ77</f>
        <v>16031085</v>
      </c>
      <c r="BD77" s="5"/>
    </row>
    <row r="78" spans="1:56" s="1" customFormat="1" ht="31.5" x14ac:dyDescent="0.25">
      <c r="A78" s="283"/>
      <c r="B78" s="283"/>
      <c r="C78" s="93" t="s">
        <v>190</v>
      </c>
      <c r="D78" s="143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44">
        <f t="shared" si="6"/>
        <v>0</v>
      </c>
      <c r="AO78" s="47"/>
      <c r="AP78" s="29"/>
      <c r="AQ78" s="48"/>
      <c r="AR78" s="38"/>
      <c r="AS78" s="171"/>
      <c r="AT78" s="52"/>
      <c r="AU78" s="47"/>
      <c r="AV78" s="29"/>
      <c r="AW78" s="29"/>
      <c r="AX78" s="29"/>
      <c r="AY78" s="29"/>
      <c r="AZ78" s="48"/>
      <c r="BA78" s="38"/>
      <c r="BB78" s="52"/>
      <c r="BC78" s="82">
        <f t="shared" ref="BC78:BC79" si="7">AN78+AQ78+AT78+AW78+BB78+AZ78</f>
        <v>0</v>
      </c>
      <c r="BD78" s="5"/>
    </row>
    <row r="79" spans="1:56" s="1" customFormat="1" x14ac:dyDescent="0.25">
      <c r="A79" s="283"/>
      <c r="B79" s="283"/>
      <c r="C79" s="134" t="s">
        <v>191</v>
      </c>
      <c r="D79" s="143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52">
        <f t="shared" si="6"/>
        <v>0</v>
      </c>
      <c r="AO79" s="47"/>
      <c r="AP79" s="29"/>
      <c r="AQ79" s="48"/>
      <c r="AR79" s="38"/>
      <c r="AS79" s="171"/>
      <c r="AT79" s="52"/>
      <c r="AU79" s="47"/>
      <c r="AV79" s="29"/>
      <c r="AW79" s="29"/>
      <c r="AX79" s="29"/>
      <c r="AY79" s="29"/>
      <c r="AZ79" s="48"/>
      <c r="BA79" s="38"/>
      <c r="BB79" s="52"/>
      <c r="BC79" s="100">
        <f t="shared" si="7"/>
        <v>0</v>
      </c>
      <c r="BD79" s="5"/>
    </row>
    <row r="80" spans="1:56" s="1" customFormat="1" x14ac:dyDescent="0.25">
      <c r="A80" s="283"/>
      <c r="B80" s="283"/>
      <c r="C80" s="93" t="s">
        <v>87</v>
      </c>
      <c r="D80" s="53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>
        <v>536</v>
      </c>
      <c r="AM80" s="26">
        <v>68308</v>
      </c>
      <c r="AN80" s="50">
        <f t="shared" si="6"/>
        <v>68308</v>
      </c>
      <c r="AO80" s="43"/>
      <c r="AP80" s="27"/>
      <c r="AQ80" s="44"/>
      <c r="AR80" s="36"/>
      <c r="AS80" s="170"/>
      <c r="AT80" s="50"/>
      <c r="AU80" s="43"/>
      <c r="AV80" s="27"/>
      <c r="AW80" s="27"/>
      <c r="AX80" s="27"/>
      <c r="AY80" s="27"/>
      <c r="AZ80" s="44"/>
      <c r="BA80" s="36"/>
      <c r="BB80" s="50"/>
      <c r="BC80" s="82">
        <f t="shared" si="1"/>
        <v>68308</v>
      </c>
      <c r="BD80" s="5"/>
    </row>
    <row r="81" spans="1:56" s="1" customFormat="1" ht="31.5" x14ac:dyDescent="0.25">
      <c r="A81" s="283"/>
      <c r="B81" s="283"/>
      <c r="C81" s="93" t="s">
        <v>192</v>
      </c>
      <c r="D81" s="53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50">
        <f t="shared" si="6"/>
        <v>0</v>
      </c>
      <c r="AO81" s="43"/>
      <c r="AP81" s="27"/>
      <c r="AQ81" s="44"/>
      <c r="AR81" s="36"/>
      <c r="AS81" s="170"/>
      <c r="AT81" s="50"/>
      <c r="AU81" s="43"/>
      <c r="AV81" s="27"/>
      <c r="AW81" s="27"/>
      <c r="AX81" s="27"/>
      <c r="AY81" s="27"/>
      <c r="AZ81" s="44"/>
      <c r="BA81" s="36"/>
      <c r="BB81" s="50"/>
      <c r="BC81" s="82">
        <f t="shared" si="1"/>
        <v>0</v>
      </c>
      <c r="BD81" s="5"/>
    </row>
    <row r="82" spans="1:56" s="1" customFormat="1" x14ac:dyDescent="0.25">
      <c r="A82" s="283"/>
      <c r="B82" s="283"/>
      <c r="C82" s="148" t="s">
        <v>60</v>
      </c>
      <c r="D82" s="53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>
        <v>656</v>
      </c>
      <c r="AM82" s="26">
        <v>61460</v>
      </c>
      <c r="AN82" s="50">
        <f t="shared" si="6"/>
        <v>61460</v>
      </c>
      <c r="AO82" s="43"/>
      <c r="AP82" s="27"/>
      <c r="AQ82" s="44"/>
      <c r="AR82" s="36"/>
      <c r="AS82" s="170"/>
      <c r="AT82" s="50"/>
      <c r="AU82" s="43"/>
      <c r="AV82" s="27"/>
      <c r="AW82" s="27"/>
      <c r="AX82" s="27"/>
      <c r="AY82" s="27"/>
      <c r="AZ82" s="44"/>
      <c r="BA82" s="36"/>
      <c r="BB82" s="50"/>
      <c r="BC82" s="82">
        <f t="shared" si="1"/>
        <v>61460</v>
      </c>
      <c r="BD82" s="5"/>
    </row>
    <row r="83" spans="1:56" s="1" customFormat="1" x14ac:dyDescent="0.25">
      <c r="A83" s="283"/>
      <c r="B83" s="283"/>
      <c r="C83" s="93" t="s">
        <v>74</v>
      </c>
      <c r="D83" s="53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>
        <v>20</v>
      </c>
      <c r="AM83" s="26">
        <v>29435</v>
      </c>
      <c r="AN83" s="50">
        <f t="shared" si="6"/>
        <v>29435</v>
      </c>
      <c r="AO83" s="43"/>
      <c r="AP83" s="27"/>
      <c r="AQ83" s="44"/>
      <c r="AR83" s="36"/>
      <c r="AS83" s="170"/>
      <c r="AT83" s="50"/>
      <c r="AU83" s="43"/>
      <c r="AV83" s="27"/>
      <c r="AW83" s="27"/>
      <c r="AX83" s="27"/>
      <c r="AY83" s="27"/>
      <c r="AZ83" s="44"/>
      <c r="BA83" s="36"/>
      <c r="BB83" s="50"/>
      <c r="BC83" s="82">
        <f t="shared" si="1"/>
        <v>29435</v>
      </c>
      <c r="BD83" s="5"/>
    </row>
    <row r="84" spans="1:56" s="1" customFormat="1" x14ac:dyDescent="0.25">
      <c r="A84" s="283"/>
      <c r="B84" s="283"/>
      <c r="C84" s="93" t="s">
        <v>185</v>
      </c>
      <c r="D84" s="53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>
        <v>25</v>
      </c>
      <c r="AM84" s="26">
        <v>18795</v>
      </c>
      <c r="AN84" s="50">
        <f t="shared" si="6"/>
        <v>18795</v>
      </c>
      <c r="AO84" s="43"/>
      <c r="AP84" s="27"/>
      <c r="AQ84" s="44"/>
      <c r="AR84" s="36"/>
      <c r="AS84" s="170"/>
      <c r="AT84" s="50"/>
      <c r="AU84" s="43"/>
      <c r="AV84" s="27"/>
      <c r="AW84" s="27"/>
      <c r="AX84" s="27"/>
      <c r="AY84" s="27"/>
      <c r="AZ84" s="44"/>
      <c r="BA84" s="36"/>
      <c r="BB84" s="50"/>
      <c r="BC84" s="82">
        <f t="shared" si="1"/>
        <v>18795</v>
      </c>
      <c r="BD84" s="5"/>
    </row>
    <row r="85" spans="1:56" s="1" customFormat="1" x14ac:dyDescent="0.25">
      <c r="A85" s="283"/>
      <c r="B85" s="283"/>
      <c r="C85" s="93" t="s">
        <v>75</v>
      </c>
      <c r="D85" s="53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>
        <v>14</v>
      </c>
      <c r="AM85" s="26">
        <v>13109</v>
      </c>
      <c r="AN85" s="50">
        <f t="shared" si="6"/>
        <v>13109</v>
      </c>
      <c r="AO85" s="43"/>
      <c r="AP85" s="27"/>
      <c r="AQ85" s="44"/>
      <c r="AR85" s="36"/>
      <c r="AS85" s="170"/>
      <c r="AT85" s="50"/>
      <c r="AU85" s="43"/>
      <c r="AV85" s="27"/>
      <c r="AW85" s="27"/>
      <c r="AX85" s="27"/>
      <c r="AY85" s="27"/>
      <c r="AZ85" s="44"/>
      <c r="BA85" s="36"/>
      <c r="BB85" s="50"/>
      <c r="BC85" s="82">
        <f t="shared" si="1"/>
        <v>13109</v>
      </c>
      <c r="BD85" s="5"/>
    </row>
    <row r="86" spans="1:56" s="1" customFormat="1" x14ac:dyDescent="0.25">
      <c r="A86" s="283"/>
      <c r="B86" s="283"/>
      <c r="C86" s="93" t="s">
        <v>56</v>
      </c>
      <c r="D86" s="53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>
        <v>6</v>
      </c>
      <c r="AM86" s="26">
        <v>4119</v>
      </c>
      <c r="AN86" s="50">
        <f t="shared" si="6"/>
        <v>4119</v>
      </c>
      <c r="AO86" s="43"/>
      <c r="AP86" s="27"/>
      <c r="AQ86" s="44"/>
      <c r="AR86" s="36"/>
      <c r="AS86" s="170"/>
      <c r="AT86" s="50"/>
      <c r="AU86" s="43"/>
      <c r="AV86" s="27"/>
      <c r="AW86" s="27"/>
      <c r="AX86" s="27"/>
      <c r="AY86" s="27"/>
      <c r="AZ86" s="44"/>
      <c r="BA86" s="36"/>
      <c r="BB86" s="50"/>
      <c r="BC86" s="82">
        <f t="shared" si="1"/>
        <v>4119</v>
      </c>
      <c r="BD86" s="5"/>
    </row>
    <row r="87" spans="1:56" s="1" customFormat="1" x14ac:dyDescent="0.25">
      <c r="A87" s="283"/>
      <c r="B87" s="283"/>
      <c r="C87" s="93" t="s">
        <v>179</v>
      </c>
      <c r="D87" s="144">
        <v>9</v>
      </c>
      <c r="E87" s="61">
        <v>30109</v>
      </c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50">
        <f t="shared" si="6"/>
        <v>30109</v>
      </c>
      <c r="AO87" s="62"/>
      <c r="AP87" s="63"/>
      <c r="AQ87" s="64"/>
      <c r="AR87" s="65"/>
      <c r="AS87" s="172"/>
      <c r="AT87" s="66"/>
      <c r="AU87" s="62"/>
      <c r="AV87" s="63"/>
      <c r="AW87" s="63"/>
      <c r="AX87" s="63"/>
      <c r="AY87" s="63"/>
      <c r="AZ87" s="64"/>
      <c r="BA87" s="65"/>
      <c r="BB87" s="66"/>
      <c r="BC87" s="82">
        <f t="shared" si="1"/>
        <v>30109</v>
      </c>
      <c r="BD87" s="5"/>
    </row>
    <row r="88" spans="1:56" s="1" customFormat="1" ht="16.5" thickBot="1" x14ac:dyDescent="0.3">
      <c r="A88" s="284"/>
      <c r="B88" s="284"/>
      <c r="C88" s="121" t="s">
        <v>148</v>
      </c>
      <c r="D88" s="106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50">
        <f t="shared" si="6"/>
        <v>0</v>
      </c>
      <c r="AO88" s="45"/>
      <c r="AP88" s="33"/>
      <c r="AQ88" s="46"/>
      <c r="AR88" s="37"/>
      <c r="AS88" s="174"/>
      <c r="AT88" s="51"/>
      <c r="AU88" s="45"/>
      <c r="AV88" s="33"/>
      <c r="AW88" s="33"/>
      <c r="AX88" s="33"/>
      <c r="AY88" s="33"/>
      <c r="AZ88" s="46"/>
      <c r="BA88" s="37"/>
      <c r="BB88" s="51"/>
      <c r="BC88" s="82">
        <f t="shared" si="1"/>
        <v>0</v>
      </c>
      <c r="BD88" s="5"/>
    </row>
    <row r="89" spans="1:56" s="1" customFormat="1" x14ac:dyDescent="0.25">
      <c r="A89" s="282">
        <v>11</v>
      </c>
      <c r="B89" s="282">
        <v>790013</v>
      </c>
      <c r="C89" s="145" t="s">
        <v>22</v>
      </c>
      <c r="D89" s="130">
        <v>630</v>
      </c>
      <c r="E89" s="30">
        <v>416728</v>
      </c>
      <c r="F89" s="30">
        <v>53</v>
      </c>
      <c r="G89" s="30">
        <v>64643</v>
      </c>
      <c r="H89" s="30">
        <v>69</v>
      </c>
      <c r="I89" s="30">
        <v>35275</v>
      </c>
      <c r="J89" s="30">
        <v>4</v>
      </c>
      <c r="K89" s="30">
        <v>3821</v>
      </c>
      <c r="L89" s="30"/>
      <c r="M89" s="30"/>
      <c r="N89" s="30"/>
      <c r="O89" s="30"/>
      <c r="P89" s="30"/>
      <c r="Q89" s="30">
        <v>-164</v>
      </c>
      <c r="R89" s="30">
        <v>1</v>
      </c>
      <c r="S89" s="30">
        <v>4373</v>
      </c>
      <c r="T89" s="30">
        <v>3</v>
      </c>
      <c r="U89" s="30">
        <v>5958</v>
      </c>
      <c r="V89" s="30">
        <v>1</v>
      </c>
      <c r="W89" s="30">
        <f>1864</f>
        <v>1864</v>
      </c>
      <c r="X89" s="26">
        <v>72</v>
      </c>
      <c r="Y89" s="26">
        <v>3</v>
      </c>
      <c r="Z89" s="26"/>
      <c r="AA89" s="26">
        <f>3265+63153</f>
        <v>66418</v>
      </c>
      <c r="AB89" s="30">
        <v>16</v>
      </c>
      <c r="AC89" s="30">
        <v>66742</v>
      </c>
      <c r="AD89" s="30">
        <v>33</v>
      </c>
      <c r="AE89" s="30">
        <v>82018</v>
      </c>
      <c r="AF89" s="30">
        <f>26</f>
        <v>26</v>
      </c>
      <c r="AG89" s="30">
        <f>10423+58827</f>
        <v>69250</v>
      </c>
      <c r="AH89" s="30">
        <v>51</v>
      </c>
      <c r="AI89" s="30">
        <v>136180</v>
      </c>
      <c r="AJ89" s="30">
        <v>115</v>
      </c>
      <c r="AK89" s="30">
        <v>155817</v>
      </c>
      <c r="AL89" s="30"/>
      <c r="AM89" s="30"/>
      <c r="AN89" s="40">
        <f>E89+G89+M89+O89+Q89+S89+AA89+AC89+AE89+AG89+AI89+AK89+AM89+I89+K89+U89+W89</f>
        <v>1108923</v>
      </c>
      <c r="AO89" s="39">
        <v>12</v>
      </c>
      <c r="AP89" s="31"/>
      <c r="AQ89" s="40">
        <v>566117</v>
      </c>
      <c r="AR89" s="35">
        <v>1</v>
      </c>
      <c r="AS89" s="169"/>
      <c r="AT89" s="49">
        <v>26721</v>
      </c>
      <c r="AU89" s="39">
        <v>51</v>
      </c>
      <c r="AV89" s="31">
        <v>167</v>
      </c>
      <c r="AW89" s="31">
        <v>48722</v>
      </c>
      <c r="AX89" s="31"/>
      <c r="AY89" s="31"/>
      <c r="AZ89" s="40"/>
      <c r="BA89" s="35"/>
      <c r="BB89" s="49"/>
      <c r="BC89" s="83">
        <f t="shared" si="1"/>
        <v>1750483</v>
      </c>
      <c r="BD89" s="5"/>
    </row>
    <row r="90" spans="1:56" s="1" customFormat="1" ht="31.5" x14ac:dyDescent="0.25">
      <c r="A90" s="283"/>
      <c r="B90" s="283"/>
      <c r="C90" s="93" t="s">
        <v>190</v>
      </c>
      <c r="D90" s="143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44">
        <f t="shared" ref="AN90:AN91" si="8">E90+G90+M90+O90+Q90+S90+AA90+AC90+AE90+AG90+AI90+AK90+AM90+I90+K90</f>
        <v>0</v>
      </c>
      <c r="AO90" s="47"/>
      <c r="AP90" s="29"/>
      <c r="AQ90" s="48"/>
      <c r="AR90" s="38"/>
      <c r="AS90" s="171"/>
      <c r="AT90" s="52"/>
      <c r="AU90" s="47"/>
      <c r="AV90" s="29"/>
      <c r="AW90" s="29"/>
      <c r="AX90" s="29"/>
      <c r="AY90" s="29"/>
      <c r="AZ90" s="48"/>
      <c r="BA90" s="38"/>
      <c r="BB90" s="52"/>
      <c r="BC90" s="82">
        <f t="shared" si="1"/>
        <v>0</v>
      </c>
      <c r="BD90" s="5"/>
    </row>
    <row r="91" spans="1:56" s="1" customFormat="1" x14ac:dyDescent="0.25">
      <c r="A91" s="283"/>
      <c r="B91" s="283"/>
      <c r="C91" s="134" t="s">
        <v>191</v>
      </c>
      <c r="D91" s="143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52">
        <f t="shared" si="8"/>
        <v>0</v>
      </c>
      <c r="AO91" s="47"/>
      <c r="AP91" s="29"/>
      <c r="AQ91" s="48"/>
      <c r="AR91" s="38"/>
      <c r="AS91" s="171"/>
      <c r="AT91" s="52"/>
      <c r="AU91" s="47"/>
      <c r="AV91" s="29"/>
      <c r="AW91" s="29"/>
      <c r="AX91" s="29"/>
      <c r="AY91" s="29"/>
      <c r="AZ91" s="48"/>
      <c r="BA91" s="38"/>
      <c r="BB91" s="52"/>
      <c r="BC91" s="100">
        <f t="shared" si="1"/>
        <v>0</v>
      </c>
      <c r="BD91" s="5"/>
    </row>
    <row r="92" spans="1:56" s="1" customFormat="1" ht="16.5" customHeight="1" x14ac:dyDescent="0.25">
      <c r="A92" s="283"/>
      <c r="B92" s="283"/>
      <c r="C92" s="93" t="s">
        <v>87</v>
      </c>
      <c r="D92" s="53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50">
        <f>E92+G92+M92+O92+Q92+S92+AA92+AC92+AE92+AG92+AI92+AK92+AM92+I92+K92</f>
        <v>0</v>
      </c>
      <c r="AO92" s="43"/>
      <c r="AP92" s="27"/>
      <c r="AQ92" s="44"/>
      <c r="AR92" s="36"/>
      <c r="AS92" s="170"/>
      <c r="AT92" s="50"/>
      <c r="AU92" s="43"/>
      <c r="AV92" s="27"/>
      <c r="AW92" s="27"/>
      <c r="AX92" s="27"/>
      <c r="AY92" s="27"/>
      <c r="AZ92" s="44"/>
      <c r="BA92" s="36"/>
      <c r="BB92" s="50"/>
      <c r="BC92" s="82">
        <f t="shared" si="1"/>
        <v>0</v>
      </c>
      <c r="BD92" s="5"/>
    </row>
    <row r="93" spans="1:56" s="1" customFormat="1" x14ac:dyDescent="0.25">
      <c r="A93" s="283"/>
      <c r="B93" s="283"/>
      <c r="C93" s="134" t="s">
        <v>60</v>
      </c>
      <c r="D93" s="53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>
        <v>33</v>
      </c>
      <c r="AM93" s="26">
        <v>3272</v>
      </c>
      <c r="AN93" s="50">
        <f>E93+G93+M93+O93+Q93+S93+AA93+AC93+AE93+AG93+AI93+AK93+AM93+I93+K93</f>
        <v>3272</v>
      </c>
      <c r="AO93" s="43"/>
      <c r="AP93" s="27"/>
      <c r="AQ93" s="44"/>
      <c r="AR93" s="36"/>
      <c r="AS93" s="170"/>
      <c r="AT93" s="50"/>
      <c r="AU93" s="43"/>
      <c r="AV93" s="27"/>
      <c r="AW93" s="27"/>
      <c r="AX93" s="27"/>
      <c r="AY93" s="27"/>
      <c r="AZ93" s="44"/>
      <c r="BA93" s="36"/>
      <c r="BB93" s="50"/>
      <c r="BC93" s="82">
        <f t="shared" si="1"/>
        <v>3272</v>
      </c>
      <c r="BD93" s="5"/>
    </row>
    <row r="94" spans="1:56" s="1" customFormat="1" x14ac:dyDescent="0.25">
      <c r="A94" s="283"/>
      <c r="B94" s="283"/>
      <c r="C94" s="93" t="s">
        <v>74</v>
      </c>
      <c r="D94" s="53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>
        <v>17</v>
      </c>
      <c r="AM94" s="26">
        <v>22585</v>
      </c>
      <c r="AN94" s="50">
        <f>E94+G94+M94+O94+Q94+S94+AA94+AC94+AE94+AG94+AI94+AK94+AM94+I94+K94</f>
        <v>22585</v>
      </c>
      <c r="AO94" s="43"/>
      <c r="AP94" s="27"/>
      <c r="AQ94" s="44"/>
      <c r="AR94" s="36"/>
      <c r="AS94" s="170"/>
      <c r="AT94" s="50"/>
      <c r="AU94" s="43"/>
      <c r="AV94" s="27"/>
      <c r="AW94" s="27"/>
      <c r="AX94" s="27"/>
      <c r="AY94" s="27"/>
      <c r="AZ94" s="44"/>
      <c r="BA94" s="36"/>
      <c r="BB94" s="50"/>
      <c r="BC94" s="82">
        <f t="shared" si="1"/>
        <v>22585</v>
      </c>
      <c r="BD94" s="5"/>
    </row>
    <row r="95" spans="1:56" s="1" customFormat="1" x14ac:dyDescent="0.25">
      <c r="A95" s="283"/>
      <c r="B95" s="283"/>
      <c r="C95" s="93" t="s">
        <v>185</v>
      </c>
      <c r="D95" s="53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>
        <v>8</v>
      </c>
      <c r="AM95" s="26">
        <v>5478</v>
      </c>
      <c r="AN95" s="50">
        <f t="shared" ref="AN95:AN112" si="9">E95+G95+M95+O95+Q95+S95+AA95+AC95+AE95+AG95+AI95+AK95+AM95+I95+K95</f>
        <v>5478</v>
      </c>
      <c r="AO95" s="43"/>
      <c r="AP95" s="27"/>
      <c r="AQ95" s="44"/>
      <c r="AR95" s="36"/>
      <c r="AS95" s="170"/>
      <c r="AT95" s="50"/>
      <c r="AU95" s="43"/>
      <c r="AV95" s="27"/>
      <c r="AW95" s="27"/>
      <c r="AX95" s="27"/>
      <c r="AY95" s="27"/>
      <c r="AZ95" s="44"/>
      <c r="BA95" s="36"/>
      <c r="BB95" s="50"/>
      <c r="BC95" s="82">
        <f t="shared" si="1"/>
        <v>5478</v>
      </c>
      <c r="BD95" s="5"/>
    </row>
    <row r="96" spans="1:56" s="1" customFormat="1" ht="31.5" x14ac:dyDescent="0.25">
      <c r="A96" s="283"/>
      <c r="B96" s="283"/>
      <c r="C96" s="93" t="s">
        <v>181</v>
      </c>
      <c r="D96" s="53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50">
        <f t="shared" si="9"/>
        <v>0</v>
      </c>
      <c r="AO96" s="43"/>
      <c r="AP96" s="27"/>
      <c r="AQ96" s="44"/>
      <c r="AR96" s="36"/>
      <c r="AS96" s="170"/>
      <c r="AT96" s="50"/>
      <c r="AU96" s="43"/>
      <c r="AV96" s="27"/>
      <c r="AW96" s="27"/>
      <c r="AX96" s="27"/>
      <c r="AY96" s="27"/>
      <c r="AZ96" s="44"/>
      <c r="BA96" s="36"/>
      <c r="BB96" s="50"/>
      <c r="BC96" s="82">
        <f t="shared" si="1"/>
        <v>0</v>
      </c>
      <c r="BD96" s="5"/>
    </row>
    <row r="97" spans="1:56" s="1" customFormat="1" ht="31.5" x14ac:dyDescent="0.25">
      <c r="A97" s="283"/>
      <c r="B97" s="283"/>
      <c r="C97" s="93" t="s">
        <v>182</v>
      </c>
      <c r="D97" s="53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50">
        <f t="shared" si="9"/>
        <v>0</v>
      </c>
      <c r="AO97" s="43"/>
      <c r="AP97" s="27"/>
      <c r="AQ97" s="44"/>
      <c r="AR97" s="36"/>
      <c r="AS97" s="170"/>
      <c r="AT97" s="50"/>
      <c r="AU97" s="43"/>
      <c r="AV97" s="27"/>
      <c r="AW97" s="27"/>
      <c r="AX97" s="27"/>
      <c r="AY97" s="27"/>
      <c r="AZ97" s="44"/>
      <c r="BA97" s="36"/>
      <c r="BB97" s="50"/>
      <c r="BC97" s="82">
        <f t="shared" si="1"/>
        <v>0</v>
      </c>
      <c r="BD97" s="5"/>
    </row>
    <row r="98" spans="1:56" s="1" customFormat="1" x14ac:dyDescent="0.25">
      <c r="A98" s="283"/>
      <c r="B98" s="283"/>
      <c r="C98" s="146" t="s">
        <v>183</v>
      </c>
      <c r="D98" s="53">
        <v>8</v>
      </c>
      <c r="E98" s="26">
        <v>4683</v>
      </c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50">
        <f t="shared" si="9"/>
        <v>4683</v>
      </c>
      <c r="AO98" s="43"/>
      <c r="AP98" s="27"/>
      <c r="AQ98" s="44"/>
      <c r="AR98" s="36"/>
      <c r="AS98" s="170"/>
      <c r="AT98" s="50"/>
      <c r="AU98" s="43"/>
      <c r="AV98" s="27"/>
      <c r="AW98" s="27"/>
      <c r="AX98" s="27"/>
      <c r="AY98" s="27"/>
      <c r="AZ98" s="44"/>
      <c r="BA98" s="36"/>
      <c r="BB98" s="50"/>
      <c r="BC98" s="82">
        <f t="shared" si="1"/>
        <v>4683</v>
      </c>
      <c r="BD98" s="5"/>
    </row>
    <row r="99" spans="1:56" s="1" customFormat="1" ht="31.5" x14ac:dyDescent="0.25">
      <c r="A99" s="283"/>
      <c r="B99" s="283"/>
      <c r="C99" s="146" t="s">
        <v>184</v>
      </c>
      <c r="D99" s="53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50">
        <f t="shared" si="9"/>
        <v>0</v>
      </c>
      <c r="AO99" s="43"/>
      <c r="AP99" s="27"/>
      <c r="AQ99" s="44"/>
      <c r="AR99" s="36"/>
      <c r="AS99" s="170"/>
      <c r="AT99" s="50"/>
      <c r="AU99" s="43"/>
      <c r="AV99" s="27"/>
      <c r="AW99" s="27"/>
      <c r="AX99" s="27"/>
      <c r="AY99" s="27"/>
      <c r="AZ99" s="44"/>
      <c r="BA99" s="36"/>
      <c r="BB99" s="50"/>
      <c r="BC99" s="82">
        <f t="shared" si="1"/>
        <v>0</v>
      </c>
      <c r="BD99" s="5"/>
    </row>
    <row r="100" spans="1:56" s="1" customFormat="1" x14ac:dyDescent="0.25">
      <c r="A100" s="283"/>
      <c r="B100" s="283"/>
      <c r="C100" s="93" t="s">
        <v>179</v>
      </c>
      <c r="D100" s="53">
        <v>1</v>
      </c>
      <c r="E100" s="26">
        <v>3346</v>
      </c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50">
        <f t="shared" si="9"/>
        <v>3346</v>
      </c>
      <c r="AO100" s="43"/>
      <c r="AP100" s="27"/>
      <c r="AQ100" s="44"/>
      <c r="AR100" s="36"/>
      <c r="AS100" s="170"/>
      <c r="AT100" s="50"/>
      <c r="AU100" s="43"/>
      <c r="AV100" s="27"/>
      <c r="AW100" s="27"/>
      <c r="AX100" s="27"/>
      <c r="AY100" s="27"/>
      <c r="AZ100" s="44"/>
      <c r="BA100" s="36"/>
      <c r="BB100" s="50"/>
      <c r="BC100" s="82">
        <f t="shared" si="1"/>
        <v>3346</v>
      </c>
      <c r="BD100" s="5"/>
    </row>
    <row r="101" spans="1:56" s="1" customFormat="1" ht="16.5" thickBot="1" x14ac:dyDescent="0.3">
      <c r="A101" s="284"/>
      <c r="B101" s="284"/>
      <c r="C101" s="146" t="s">
        <v>148</v>
      </c>
      <c r="D101" s="53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50">
        <f t="shared" si="9"/>
        <v>0</v>
      </c>
      <c r="AO101" s="43"/>
      <c r="AP101" s="27"/>
      <c r="AQ101" s="44"/>
      <c r="AR101" s="36"/>
      <c r="AS101" s="170"/>
      <c r="AT101" s="50"/>
      <c r="AU101" s="43"/>
      <c r="AV101" s="27"/>
      <c r="AW101" s="27"/>
      <c r="AX101" s="27"/>
      <c r="AY101" s="27"/>
      <c r="AZ101" s="44"/>
      <c r="BA101" s="36"/>
      <c r="BB101" s="50"/>
      <c r="BC101" s="82">
        <f t="shared" si="1"/>
        <v>0</v>
      </c>
      <c r="BD101" s="5"/>
    </row>
    <row r="102" spans="1:56" s="1" customFormat="1" x14ac:dyDescent="0.25">
      <c r="A102" s="282">
        <v>12</v>
      </c>
      <c r="B102" s="282">
        <v>790014</v>
      </c>
      <c r="C102" s="147" t="s">
        <v>16</v>
      </c>
      <c r="D102" s="130">
        <v>1485</v>
      </c>
      <c r="E102" s="30">
        <f>767974-598</f>
        <v>767376</v>
      </c>
      <c r="F102" s="30">
        <v>573</v>
      </c>
      <c r="G102" s="30">
        <f>767136-1144</f>
        <v>765992</v>
      </c>
      <c r="H102" s="30">
        <v>190</v>
      </c>
      <c r="I102" s="30">
        <f>109339</f>
        <v>109339</v>
      </c>
      <c r="J102" s="30">
        <v>31</v>
      </c>
      <c r="K102" s="30">
        <v>70410</v>
      </c>
      <c r="L102" s="30">
        <v>1</v>
      </c>
      <c r="M102" s="30">
        <v>2076</v>
      </c>
      <c r="N102" s="30"/>
      <c r="O102" s="30"/>
      <c r="P102" s="30">
        <v>2</v>
      </c>
      <c r="Q102" s="30">
        <f>3929-884</f>
        <v>3045</v>
      </c>
      <c r="R102" s="30">
        <v>6</v>
      </c>
      <c r="S102" s="30">
        <v>26233</v>
      </c>
      <c r="T102" s="30"/>
      <c r="U102" s="30"/>
      <c r="V102" s="30"/>
      <c r="W102" s="30"/>
      <c r="X102" s="30"/>
      <c r="Y102" s="30">
        <v>12</v>
      </c>
      <c r="Z102" s="30">
        <v>44</v>
      </c>
      <c r="AA102" s="30">
        <f>11161+15158</f>
        <v>26319</v>
      </c>
      <c r="AB102" s="30">
        <v>31</v>
      </c>
      <c r="AC102" s="30">
        <v>112561</v>
      </c>
      <c r="AD102" s="30"/>
      <c r="AE102" s="30"/>
      <c r="AF102" s="30">
        <v>42</v>
      </c>
      <c r="AG102" s="30">
        <v>90518</v>
      </c>
      <c r="AH102" s="30">
        <v>78</v>
      </c>
      <c r="AI102" s="30">
        <f>-4633+207669</f>
        <v>203036</v>
      </c>
      <c r="AJ102" s="30">
        <v>586</v>
      </c>
      <c r="AK102" s="30">
        <v>793989</v>
      </c>
      <c r="AL102" s="30"/>
      <c r="AM102" s="30"/>
      <c r="AN102" s="40">
        <f t="shared" si="9"/>
        <v>2970894</v>
      </c>
      <c r="AO102" s="39">
        <v>108</v>
      </c>
      <c r="AP102" s="31"/>
      <c r="AQ102" s="40">
        <v>3653546</v>
      </c>
      <c r="AR102" s="35">
        <v>12</v>
      </c>
      <c r="AS102" s="169"/>
      <c r="AT102" s="49">
        <v>231521</v>
      </c>
      <c r="AU102" s="39">
        <v>399</v>
      </c>
      <c r="AV102" s="31">
        <v>2646</v>
      </c>
      <c r="AW102" s="31">
        <v>774655</v>
      </c>
      <c r="AX102" s="31"/>
      <c r="AY102" s="31"/>
      <c r="AZ102" s="40"/>
      <c r="BA102" s="35"/>
      <c r="BB102" s="49"/>
      <c r="BC102" s="83">
        <f t="shared" si="1"/>
        <v>7630616</v>
      </c>
      <c r="BD102" s="5"/>
    </row>
    <row r="103" spans="1:56" s="1" customFormat="1" ht="31.5" x14ac:dyDescent="0.25">
      <c r="A103" s="283"/>
      <c r="B103" s="283"/>
      <c r="C103" s="93" t="s">
        <v>190</v>
      </c>
      <c r="D103" s="143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44">
        <f t="shared" si="9"/>
        <v>0</v>
      </c>
      <c r="AO103" s="47"/>
      <c r="AP103" s="29"/>
      <c r="AQ103" s="48"/>
      <c r="AR103" s="38"/>
      <c r="AS103" s="171"/>
      <c r="AT103" s="52"/>
      <c r="AU103" s="47"/>
      <c r="AV103" s="29"/>
      <c r="AW103" s="29"/>
      <c r="AX103" s="29"/>
      <c r="AY103" s="29"/>
      <c r="AZ103" s="48"/>
      <c r="BA103" s="38"/>
      <c r="BB103" s="52"/>
      <c r="BC103" s="82">
        <f t="shared" si="1"/>
        <v>0</v>
      </c>
      <c r="BD103" s="5"/>
    </row>
    <row r="104" spans="1:56" s="1" customFormat="1" x14ac:dyDescent="0.25">
      <c r="A104" s="283"/>
      <c r="B104" s="283"/>
      <c r="C104" s="134" t="s">
        <v>191</v>
      </c>
      <c r="D104" s="143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52">
        <f t="shared" si="9"/>
        <v>0</v>
      </c>
      <c r="AO104" s="47"/>
      <c r="AP104" s="29"/>
      <c r="AQ104" s="48"/>
      <c r="AR104" s="38"/>
      <c r="AS104" s="171"/>
      <c r="AT104" s="52"/>
      <c r="AU104" s="47"/>
      <c r="AV104" s="29"/>
      <c r="AW104" s="29"/>
      <c r="AX104" s="29"/>
      <c r="AY104" s="29"/>
      <c r="AZ104" s="48"/>
      <c r="BA104" s="38"/>
      <c r="BB104" s="52"/>
      <c r="BC104" s="100">
        <f t="shared" si="1"/>
        <v>0</v>
      </c>
      <c r="BD104" s="5"/>
    </row>
    <row r="105" spans="1:56" s="1" customFormat="1" x14ac:dyDescent="0.25">
      <c r="A105" s="283"/>
      <c r="B105" s="283"/>
      <c r="C105" s="93" t="s">
        <v>87</v>
      </c>
      <c r="D105" s="53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50">
        <f t="shared" si="9"/>
        <v>0</v>
      </c>
      <c r="AO105" s="43"/>
      <c r="AP105" s="27"/>
      <c r="AQ105" s="44"/>
      <c r="AR105" s="36"/>
      <c r="AS105" s="170"/>
      <c r="AT105" s="50"/>
      <c r="AU105" s="43"/>
      <c r="AV105" s="27"/>
      <c r="AW105" s="27"/>
      <c r="AX105" s="27"/>
      <c r="AY105" s="27"/>
      <c r="AZ105" s="44"/>
      <c r="BA105" s="36"/>
      <c r="BB105" s="50"/>
      <c r="BC105" s="82">
        <f t="shared" si="1"/>
        <v>0</v>
      </c>
      <c r="BD105" s="5"/>
    </row>
    <row r="106" spans="1:56" s="1" customFormat="1" x14ac:dyDescent="0.25">
      <c r="A106" s="283"/>
      <c r="B106" s="283"/>
      <c r="C106" s="134" t="s">
        <v>60</v>
      </c>
      <c r="D106" s="53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>
        <v>144</v>
      </c>
      <c r="AM106" s="26">
        <v>12936</v>
      </c>
      <c r="AN106" s="50">
        <f t="shared" si="9"/>
        <v>12936</v>
      </c>
      <c r="AO106" s="43"/>
      <c r="AP106" s="27"/>
      <c r="AQ106" s="44"/>
      <c r="AR106" s="36"/>
      <c r="AS106" s="170"/>
      <c r="AT106" s="50"/>
      <c r="AU106" s="43"/>
      <c r="AV106" s="27"/>
      <c r="AW106" s="27"/>
      <c r="AX106" s="27"/>
      <c r="AY106" s="27"/>
      <c r="AZ106" s="44"/>
      <c r="BA106" s="36"/>
      <c r="BB106" s="50"/>
      <c r="BC106" s="82">
        <f t="shared" si="1"/>
        <v>12936</v>
      </c>
      <c r="BD106" s="5"/>
    </row>
    <row r="107" spans="1:56" s="1" customFormat="1" x14ac:dyDescent="0.25">
      <c r="A107" s="283"/>
      <c r="B107" s="283"/>
      <c r="C107" s="93" t="s">
        <v>75</v>
      </c>
      <c r="D107" s="53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>
        <v>5</v>
      </c>
      <c r="AM107" s="26">
        <v>4682</v>
      </c>
      <c r="AN107" s="50">
        <f t="shared" si="9"/>
        <v>4682</v>
      </c>
      <c r="AO107" s="43"/>
      <c r="AP107" s="27"/>
      <c r="AQ107" s="44"/>
      <c r="AR107" s="36"/>
      <c r="AS107" s="170"/>
      <c r="AT107" s="50"/>
      <c r="AU107" s="43"/>
      <c r="AV107" s="27"/>
      <c r="AW107" s="27"/>
      <c r="AX107" s="27"/>
      <c r="AY107" s="27"/>
      <c r="AZ107" s="44"/>
      <c r="BA107" s="36"/>
      <c r="BB107" s="50"/>
      <c r="BC107" s="82">
        <f t="shared" si="1"/>
        <v>4682</v>
      </c>
      <c r="BD107" s="5"/>
    </row>
    <row r="108" spans="1:56" s="1" customFormat="1" x14ac:dyDescent="0.25">
      <c r="A108" s="283"/>
      <c r="B108" s="283"/>
      <c r="C108" s="93" t="s">
        <v>56</v>
      </c>
      <c r="D108" s="53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>
        <v>31</v>
      </c>
      <c r="AM108" s="26">
        <v>35591</v>
      </c>
      <c r="AN108" s="50">
        <f t="shared" si="9"/>
        <v>35591</v>
      </c>
      <c r="AO108" s="43"/>
      <c r="AP108" s="27"/>
      <c r="AQ108" s="44"/>
      <c r="AR108" s="36"/>
      <c r="AS108" s="170"/>
      <c r="AT108" s="50"/>
      <c r="AU108" s="43"/>
      <c r="AV108" s="27"/>
      <c r="AW108" s="27"/>
      <c r="AX108" s="27"/>
      <c r="AY108" s="27"/>
      <c r="AZ108" s="44"/>
      <c r="BA108" s="36"/>
      <c r="BB108" s="50"/>
      <c r="BC108" s="82">
        <f t="shared" si="1"/>
        <v>35591</v>
      </c>
      <c r="BD108" s="5"/>
    </row>
    <row r="109" spans="1:56" s="1" customFormat="1" x14ac:dyDescent="0.25">
      <c r="A109" s="283"/>
      <c r="B109" s="283"/>
      <c r="C109" s="93" t="s">
        <v>111</v>
      </c>
      <c r="D109" s="53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>
        <v>1</v>
      </c>
      <c r="AM109" s="26">
        <v>2517</v>
      </c>
      <c r="AN109" s="50">
        <f t="shared" si="9"/>
        <v>2517</v>
      </c>
      <c r="AO109" s="43"/>
      <c r="AP109" s="27"/>
      <c r="AQ109" s="44"/>
      <c r="AR109" s="36"/>
      <c r="AS109" s="170"/>
      <c r="AT109" s="50"/>
      <c r="AU109" s="43"/>
      <c r="AV109" s="27"/>
      <c r="AW109" s="27"/>
      <c r="AX109" s="27"/>
      <c r="AY109" s="27"/>
      <c r="AZ109" s="44"/>
      <c r="BA109" s="36"/>
      <c r="BB109" s="50"/>
      <c r="BC109" s="82">
        <f t="shared" si="1"/>
        <v>2517</v>
      </c>
      <c r="BD109" s="5"/>
    </row>
    <row r="110" spans="1:56" s="1" customFormat="1" x14ac:dyDescent="0.25">
      <c r="A110" s="283"/>
      <c r="B110" s="283"/>
      <c r="C110" s="93" t="s">
        <v>112</v>
      </c>
      <c r="D110" s="53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>
        <v>7</v>
      </c>
      <c r="AM110" s="26">
        <v>8808</v>
      </c>
      <c r="AN110" s="50">
        <f t="shared" si="9"/>
        <v>8808</v>
      </c>
      <c r="AO110" s="43"/>
      <c r="AP110" s="27"/>
      <c r="AQ110" s="44"/>
      <c r="AR110" s="36"/>
      <c r="AS110" s="170"/>
      <c r="AT110" s="50"/>
      <c r="AU110" s="43"/>
      <c r="AV110" s="27"/>
      <c r="AW110" s="27"/>
      <c r="AX110" s="27"/>
      <c r="AY110" s="27"/>
      <c r="AZ110" s="44"/>
      <c r="BA110" s="36"/>
      <c r="BB110" s="50"/>
      <c r="BC110" s="82">
        <f t="shared" si="1"/>
        <v>8808</v>
      </c>
      <c r="BD110" s="5"/>
    </row>
    <row r="111" spans="1:56" s="1" customFormat="1" ht="31.5" x14ac:dyDescent="0.25">
      <c r="A111" s="283"/>
      <c r="B111" s="283"/>
      <c r="C111" s="93" t="s">
        <v>180</v>
      </c>
      <c r="D111" s="144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50">
        <f t="shared" si="9"/>
        <v>0</v>
      </c>
      <c r="AO111" s="62"/>
      <c r="AP111" s="63"/>
      <c r="AQ111" s="64"/>
      <c r="AR111" s="65"/>
      <c r="AS111" s="172"/>
      <c r="AT111" s="66"/>
      <c r="AU111" s="62"/>
      <c r="AV111" s="63"/>
      <c r="AW111" s="63"/>
      <c r="AX111" s="63"/>
      <c r="AY111" s="63"/>
      <c r="AZ111" s="64"/>
      <c r="BA111" s="65"/>
      <c r="BB111" s="66"/>
      <c r="BC111" s="82">
        <f t="shared" si="1"/>
        <v>0</v>
      </c>
      <c r="BD111" s="5"/>
    </row>
    <row r="112" spans="1:56" s="1" customFormat="1" ht="16.5" thickBot="1" x14ac:dyDescent="0.3">
      <c r="A112" s="284"/>
      <c r="B112" s="284"/>
      <c r="C112" s="121" t="s">
        <v>148</v>
      </c>
      <c r="D112" s="144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50">
        <f t="shared" si="9"/>
        <v>0</v>
      </c>
      <c r="AO112" s="62"/>
      <c r="AP112" s="63"/>
      <c r="AQ112" s="64"/>
      <c r="AR112" s="65"/>
      <c r="AS112" s="172"/>
      <c r="AT112" s="66"/>
      <c r="AU112" s="62"/>
      <c r="AV112" s="63"/>
      <c r="AW112" s="63"/>
      <c r="AX112" s="63"/>
      <c r="AY112" s="63"/>
      <c r="AZ112" s="64"/>
      <c r="BA112" s="65"/>
      <c r="BB112" s="66"/>
      <c r="BC112" s="82">
        <f t="shared" si="1"/>
        <v>0</v>
      </c>
      <c r="BD112" s="5"/>
    </row>
    <row r="113" spans="1:56" s="1" customFormat="1" ht="21.75" customHeight="1" thickBot="1" x14ac:dyDescent="0.3">
      <c r="A113" s="101">
        <v>13</v>
      </c>
      <c r="B113" s="94">
        <v>790019</v>
      </c>
      <c r="C113" s="138" t="s">
        <v>123</v>
      </c>
      <c r="D113" s="149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60">
        <f>E113+G113+M113+O113+Q113+S113+AA113+AC113+AE113+AG113+AI113+AK113+AM113+I113+K113</f>
        <v>0</v>
      </c>
      <c r="AO113" s="56"/>
      <c r="AP113" s="57"/>
      <c r="AQ113" s="58"/>
      <c r="AR113" s="59"/>
      <c r="AS113" s="173"/>
      <c r="AT113" s="60"/>
      <c r="AU113" s="56"/>
      <c r="AV113" s="57"/>
      <c r="AW113" s="57"/>
      <c r="AX113" s="57"/>
      <c r="AY113" s="57"/>
      <c r="AZ113" s="58"/>
      <c r="BA113" s="59"/>
      <c r="BB113" s="60"/>
      <c r="BC113" s="85">
        <f t="shared" si="1"/>
        <v>0</v>
      </c>
      <c r="BD113" s="5"/>
    </row>
    <row r="114" spans="1:56" s="1" customFormat="1" x14ac:dyDescent="0.25">
      <c r="A114" s="282">
        <v>14</v>
      </c>
      <c r="B114" s="282">
        <v>790021</v>
      </c>
      <c r="C114" s="120" t="s">
        <v>11</v>
      </c>
      <c r="D114" s="130">
        <v>176</v>
      </c>
      <c r="E114" s="30">
        <v>150004</v>
      </c>
      <c r="F114" s="30">
        <v>53</v>
      </c>
      <c r="G114" s="30">
        <v>175485</v>
      </c>
      <c r="H114" s="30">
        <v>3</v>
      </c>
      <c r="I114" s="30">
        <v>2159</v>
      </c>
      <c r="J114" s="30">
        <v>6</v>
      </c>
      <c r="K114" s="30">
        <v>4610</v>
      </c>
      <c r="L114" s="30"/>
      <c r="M114" s="30"/>
      <c r="N114" s="30">
        <v>16</v>
      </c>
      <c r="O114" s="30">
        <v>89947</v>
      </c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49">
        <f>E114+G114+M114+O114+Q114+S114+AA114+AC114+AE114+AG114+AI114+AK114+AM114+I114+K114</f>
        <v>422205</v>
      </c>
      <c r="AO114" s="39">
        <f>2+AO115</f>
        <v>4</v>
      </c>
      <c r="AP114" s="31"/>
      <c r="AQ114" s="40">
        <f>149434+AQ115</f>
        <v>608409</v>
      </c>
      <c r="AR114" s="35"/>
      <c r="AS114" s="169"/>
      <c r="AT114" s="49"/>
      <c r="AU114" s="39"/>
      <c r="AV114" s="31"/>
      <c r="AW114" s="31"/>
      <c r="AX114" s="31"/>
      <c r="AY114" s="31"/>
      <c r="AZ114" s="40"/>
      <c r="BA114" s="35"/>
      <c r="BB114" s="49"/>
      <c r="BC114" s="83">
        <f t="shared" si="1"/>
        <v>1030614</v>
      </c>
      <c r="BD114" s="5"/>
    </row>
    <row r="115" spans="1:56" s="1" customFormat="1" x14ac:dyDescent="0.25">
      <c r="A115" s="283"/>
      <c r="B115" s="283"/>
      <c r="C115" s="134" t="s">
        <v>119</v>
      </c>
      <c r="D115" s="53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50">
        <f>E115+G115+M115+O115+Q115+S115+AA115+AC115+AE115+AG115+AI115+AK115+AM115+I115+K115</f>
        <v>0</v>
      </c>
      <c r="AO115" s="41">
        <v>2</v>
      </c>
      <c r="AP115" s="27"/>
      <c r="AQ115" s="42">
        <v>458975</v>
      </c>
      <c r="AR115" s="53"/>
      <c r="AS115" s="175"/>
      <c r="AT115" s="34"/>
      <c r="AU115" s="43"/>
      <c r="AV115" s="27"/>
      <c r="AW115" s="27"/>
      <c r="AX115" s="27"/>
      <c r="AY115" s="27"/>
      <c r="AZ115" s="44"/>
      <c r="BA115" s="36"/>
      <c r="BB115" s="50"/>
      <c r="BC115" s="108">
        <f t="shared" si="1"/>
        <v>458975</v>
      </c>
      <c r="BD115" s="5"/>
    </row>
    <row r="116" spans="1:56" s="1" customFormat="1" x14ac:dyDescent="0.25">
      <c r="A116" s="283"/>
      <c r="B116" s="283"/>
      <c r="C116" s="93" t="s">
        <v>93</v>
      </c>
      <c r="D116" s="53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>
        <v>24</v>
      </c>
      <c r="AM116" s="26">
        <v>170670</v>
      </c>
      <c r="AN116" s="50">
        <f>E116+G116+M116+O116+Q116+S116+AA116+AC116+AE116+AG116+AI116+AK116+AM116+I116+K116</f>
        <v>170670</v>
      </c>
      <c r="AO116" s="43"/>
      <c r="AP116" s="27"/>
      <c r="AQ116" s="44"/>
      <c r="AR116" s="36"/>
      <c r="AS116" s="170"/>
      <c r="AT116" s="50"/>
      <c r="AU116" s="43"/>
      <c r="AV116" s="27"/>
      <c r="AW116" s="27"/>
      <c r="AX116" s="27"/>
      <c r="AY116" s="27"/>
      <c r="AZ116" s="44"/>
      <c r="BA116" s="36"/>
      <c r="BB116" s="50"/>
      <c r="BC116" s="82">
        <f t="shared" ref="BC116:BC158" si="10">AN116+AQ116+AT116+AW116+BB116+AZ116</f>
        <v>170670</v>
      </c>
      <c r="BD116" s="5"/>
    </row>
    <row r="117" spans="1:56" s="1" customFormat="1" x14ac:dyDescent="0.25">
      <c r="A117" s="283"/>
      <c r="B117" s="283"/>
      <c r="C117" s="93" t="s">
        <v>94</v>
      </c>
      <c r="D117" s="53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>
        <v>42</v>
      </c>
      <c r="AM117" s="26">
        <v>269480</v>
      </c>
      <c r="AN117" s="50">
        <f t="shared" ref="AN117:AN158" si="11">E117+G117+M117+O117+Q117+S117+AA117+AC117+AE117+AG117+AI117+AK117+AM117+I117+K117</f>
        <v>269480</v>
      </c>
      <c r="AO117" s="43"/>
      <c r="AP117" s="27"/>
      <c r="AQ117" s="44"/>
      <c r="AR117" s="36"/>
      <c r="AS117" s="170"/>
      <c r="AT117" s="50"/>
      <c r="AU117" s="43"/>
      <c r="AV117" s="27"/>
      <c r="AW117" s="27"/>
      <c r="AX117" s="27"/>
      <c r="AY117" s="27"/>
      <c r="AZ117" s="44"/>
      <c r="BA117" s="36"/>
      <c r="BB117" s="50"/>
      <c r="BC117" s="82">
        <f t="shared" si="10"/>
        <v>269480</v>
      </c>
      <c r="BD117" s="5"/>
    </row>
    <row r="118" spans="1:56" s="1" customFormat="1" x14ac:dyDescent="0.25">
      <c r="A118" s="283"/>
      <c r="B118" s="283"/>
      <c r="C118" s="93" t="s">
        <v>74</v>
      </c>
      <c r="D118" s="53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>
        <v>2</v>
      </c>
      <c r="AM118" s="26">
        <v>3099</v>
      </c>
      <c r="AN118" s="50">
        <f t="shared" si="11"/>
        <v>3099</v>
      </c>
      <c r="AO118" s="43"/>
      <c r="AP118" s="27"/>
      <c r="AQ118" s="44"/>
      <c r="AR118" s="36"/>
      <c r="AS118" s="170"/>
      <c r="AT118" s="50"/>
      <c r="AU118" s="43"/>
      <c r="AV118" s="27"/>
      <c r="AW118" s="27"/>
      <c r="AX118" s="27"/>
      <c r="AY118" s="27"/>
      <c r="AZ118" s="44"/>
      <c r="BA118" s="36"/>
      <c r="BB118" s="50"/>
      <c r="BC118" s="82">
        <f t="shared" si="10"/>
        <v>3099</v>
      </c>
      <c r="BD118" s="5"/>
    </row>
    <row r="119" spans="1:56" s="1" customFormat="1" x14ac:dyDescent="0.25">
      <c r="A119" s="283"/>
      <c r="B119" s="283"/>
      <c r="C119" s="93" t="s">
        <v>75</v>
      </c>
      <c r="D119" s="53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>
        <v>30</v>
      </c>
      <c r="AM119" s="26">
        <v>65495</v>
      </c>
      <c r="AN119" s="50">
        <f t="shared" si="11"/>
        <v>65495</v>
      </c>
      <c r="AO119" s="43"/>
      <c r="AP119" s="27"/>
      <c r="AQ119" s="44"/>
      <c r="AR119" s="36"/>
      <c r="AS119" s="170"/>
      <c r="AT119" s="50"/>
      <c r="AU119" s="43"/>
      <c r="AV119" s="27"/>
      <c r="AW119" s="27"/>
      <c r="AX119" s="27"/>
      <c r="AY119" s="27"/>
      <c r="AZ119" s="44"/>
      <c r="BA119" s="36"/>
      <c r="BB119" s="50"/>
      <c r="BC119" s="82">
        <f t="shared" si="10"/>
        <v>65495</v>
      </c>
      <c r="BD119" s="5"/>
    </row>
    <row r="120" spans="1:56" s="1" customFormat="1" ht="47.25" x14ac:dyDescent="0.25">
      <c r="A120" s="283"/>
      <c r="B120" s="283"/>
      <c r="C120" s="136" t="s">
        <v>92</v>
      </c>
      <c r="D120" s="53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>
        <v>18</v>
      </c>
      <c r="AM120" s="26">
        <v>77770</v>
      </c>
      <c r="AN120" s="50">
        <f t="shared" si="11"/>
        <v>77770</v>
      </c>
      <c r="AO120" s="43"/>
      <c r="AP120" s="27"/>
      <c r="AQ120" s="44"/>
      <c r="AR120" s="36"/>
      <c r="AS120" s="170"/>
      <c r="AT120" s="50"/>
      <c r="AU120" s="43"/>
      <c r="AV120" s="27"/>
      <c r="AW120" s="27"/>
      <c r="AX120" s="27"/>
      <c r="AY120" s="27"/>
      <c r="AZ120" s="44"/>
      <c r="BA120" s="36"/>
      <c r="BB120" s="50"/>
      <c r="BC120" s="82">
        <f t="shared" si="10"/>
        <v>77770</v>
      </c>
      <c r="BD120" s="5"/>
    </row>
    <row r="121" spans="1:56" s="1" customFormat="1" x14ac:dyDescent="0.25">
      <c r="A121" s="283"/>
      <c r="B121" s="283"/>
      <c r="C121" s="135" t="s">
        <v>26</v>
      </c>
      <c r="D121" s="53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50">
        <f t="shared" si="11"/>
        <v>0</v>
      </c>
      <c r="AO121" s="43"/>
      <c r="AP121" s="27"/>
      <c r="AQ121" s="44"/>
      <c r="AR121" s="36"/>
      <c r="AS121" s="170"/>
      <c r="AT121" s="50"/>
      <c r="AU121" s="43"/>
      <c r="AV121" s="27"/>
      <c r="AW121" s="27"/>
      <c r="AX121" s="27"/>
      <c r="AY121" s="27"/>
      <c r="AZ121" s="44"/>
      <c r="BA121" s="36"/>
      <c r="BB121" s="50"/>
      <c r="BC121" s="82">
        <f t="shared" si="10"/>
        <v>0</v>
      </c>
      <c r="BD121" s="5"/>
    </row>
    <row r="122" spans="1:56" s="1" customFormat="1" ht="16.5" thickBot="1" x14ac:dyDescent="0.3">
      <c r="A122" s="284"/>
      <c r="B122" s="284"/>
      <c r="C122" s="215" t="s">
        <v>119</v>
      </c>
      <c r="D122" s="144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6">
        <f t="shared" si="11"/>
        <v>0</v>
      </c>
      <c r="AO122" s="74"/>
      <c r="AP122" s="61"/>
      <c r="AQ122" s="159"/>
      <c r="AR122" s="65"/>
      <c r="AS122" s="172"/>
      <c r="AT122" s="66"/>
      <c r="AU122" s="62"/>
      <c r="AV122" s="63"/>
      <c r="AW122" s="63"/>
      <c r="AX122" s="63"/>
      <c r="AY122" s="63"/>
      <c r="AZ122" s="64"/>
      <c r="BA122" s="65"/>
      <c r="BB122" s="66"/>
      <c r="BC122" s="160">
        <f t="shared" si="10"/>
        <v>0</v>
      </c>
      <c r="BD122" s="5"/>
    </row>
    <row r="123" spans="1:56" s="1" customFormat="1" ht="16.5" thickBot="1" x14ac:dyDescent="0.3">
      <c r="A123" s="101">
        <v>15</v>
      </c>
      <c r="B123" s="94">
        <v>790025</v>
      </c>
      <c r="C123" s="216" t="s">
        <v>23</v>
      </c>
      <c r="D123" s="149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60">
        <f t="shared" si="11"/>
        <v>0</v>
      </c>
      <c r="AO123" s="56"/>
      <c r="AP123" s="57"/>
      <c r="AQ123" s="58"/>
      <c r="AR123" s="59"/>
      <c r="AS123" s="173"/>
      <c r="AT123" s="60"/>
      <c r="AU123" s="56"/>
      <c r="AV123" s="57"/>
      <c r="AW123" s="57"/>
      <c r="AX123" s="57"/>
      <c r="AY123" s="57"/>
      <c r="AZ123" s="58"/>
      <c r="BA123" s="59"/>
      <c r="BB123" s="60"/>
      <c r="BC123" s="85">
        <f t="shared" si="10"/>
        <v>0</v>
      </c>
      <c r="BD123" s="5"/>
    </row>
    <row r="124" spans="1:56" s="1" customFormat="1" x14ac:dyDescent="0.25">
      <c r="A124" s="282">
        <v>16</v>
      </c>
      <c r="B124" s="282">
        <v>790027</v>
      </c>
      <c r="C124" s="120" t="s">
        <v>15</v>
      </c>
      <c r="D124" s="1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49">
        <f t="shared" si="11"/>
        <v>0</v>
      </c>
      <c r="AO124" s="39"/>
      <c r="AP124" s="31"/>
      <c r="AQ124" s="40"/>
      <c r="AR124" s="35"/>
      <c r="AS124" s="169"/>
      <c r="AT124" s="49"/>
      <c r="AU124" s="39"/>
      <c r="AV124" s="31"/>
      <c r="AW124" s="31"/>
      <c r="AX124" s="31"/>
      <c r="AY124" s="31"/>
      <c r="AZ124" s="40"/>
      <c r="BA124" s="35">
        <v>2532</v>
      </c>
      <c r="BB124" s="49">
        <f>12105145-5948</f>
        <v>12099197</v>
      </c>
      <c r="BC124" s="83">
        <f t="shared" si="10"/>
        <v>12099197</v>
      </c>
      <c r="BD124" s="5"/>
    </row>
    <row r="125" spans="1:56" s="1" customFormat="1" ht="16.5" thickBot="1" x14ac:dyDescent="0.3">
      <c r="A125" s="284"/>
      <c r="B125" s="284"/>
      <c r="C125" s="121" t="s">
        <v>108</v>
      </c>
      <c r="D125" s="144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6">
        <f t="shared" si="11"/>
        <v>0</v>
      </c>
      <c r="AO125" s="62"/>
      <c r="AP125" s="63"/>
      <c r="AQ125" s="64"/>
      <c r="AR125" s="65"/>
      <c r="AS125" s="172"/>
      <c r="AT125" s="66"/>
      <c r="AU125" s="62"/>
      <c r="AV125" s="63"/>
      <c r="AW125" s="63"/>
      <c r="AX125" s="63"/>
      <c r="AY125" s="63"/>
      <c r="AZ125" s="64"/>
      <c r="BA125" s="65">
        <f>1+10</f>
        <v>11</v>
      </c>
      <c r="BB125" s="66">
        <f>82632+810914</f>
        <v>893546</v>
      </c>
      <c r="BC125" s="115">
        <f t="shared" si="10"/>
        <v>893546</v>
      </c>
      <c r="BD125" s="5"/>
    </row>
    <row r="126" spans="1:56" s="1" customFormat="1" ht="16.5" thickBot="1" x14ac:dyDescent="0.3">
      <c r="A126" s="101">
        <v>17</v>
      </c>
      <c r="B126" s="94">
        <v>790031</v>
      </c>
      <c r="C126" s="131" t="s">
        <v>31</v>
      </c>
      <c r="D126" s="149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>
        <v>157</v>
      </c>
      <c r="AM126" s="55">
        <v>1434229</v>
      </c>
      <c r="AN126" s="60">
        <f t="shared" si="11"/>
        <v>1434229</v>
      </c>
      <c r="AO126" s="56"/>
      <c r="AP126" s="57"/>
      <c r="AQ126" s="58"/>
      <c r="AR126" s="59"/>
      <c r="AS126" s="173"/>
      <c r="AT126" s="60"/>
      <c r="AU126" s="56"/>
      <c r="AV126" s="57"/>
      <c r="AW126" s="57"/>
      <c r="AX126" s="57"/>
      <c r="AY126" s="57"/>
      <c r="AZ126" s="58"/>
      <c r="BA126" s="59"/>
      <c r="BB126" s="60"/>
      <c r="BC126" s="85">
        <f t="shared" si="10"/>
        <v>1434229</v>
      </c>
      <c r="BD126" s="5"/>
    </row>
    <row r="127" spans="1:56" s="1" customFormat="1" x14ac:dyDescent="0.25">
      <c r="A127" s="282">
        <v>18</v>
      </c>
      <c r="B127" s="282">
        <v>790038</v>
      </c>
      <c r="C127" s="147" t="s">
        <v>64</v>
      </c>
      <c r="D127" s="1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49">
        <f t="shared" si="11"/>
        <v>0</v>
      </c>
      <c r="AO127" s="39"/>
      <c r="AP127" s="31"/>
      <c r="AQ127" s="40"/>
      <c r="AR127" s="35"/>
      <c r="AS127" s="169"/>
      <c r="AT127" s="49"/>
      <c r="AU127" s="39"/>
      <c r="AV127" s="31"/>
      <c r="AW127" s="31"/>
      <c r="AX127" s="31"/>
      <c r="AY127" s="31"/>
      <c r="AZ127" s="40"/>
      <c r="BA127" s="35"/>
      <c r="BB127" s="49"/>
      <c r="BC127" s="83">
        <f t="shared" si="10"/>
        <v>0</v>
      </c>
      <c r="BD127" s="5"/>
    </row>
    <row r="128" spans="1:56" s="1" customFormat="1" x14ac:dyDescent="0.25">
      <c r="A128" s="283"/>
      <c r="B128" s="283"/>
      <c r="C128" s="93" t="s">
        <v>95</v>
      </c>
      <c r="D128" s="53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50">
        <f t="shared" si="11"/>
        <v>0</v>
      </c>
      <c r="AO128" s="43"/>
      <c r="AP128" s="27"/>
      <c r="AQ128" s="44"/>
      <c r="AR128" s="36"/>
      <c r="AS128" s="170"/>
      <c r="AT128" s="50"/>
      <c r="AU128" s="43"/>
      <c r="AV128" s="27"/>
      <c r="AW128" s="27"/>
      <c r="AX128" s="27"/>
      <c r="AY128" s="27"/>
      <c r="AZ128" s="44"/>
      <c r="BA128" s="36"/>
      <c r="BB128" s="50"/>
      <c r="BC128" s="82">
        <f t="shared" si="10"/>
        <v>0</v>
      </c>
      <c r="BD128" s="5"/>
    </row>
    <row r="129" spans="1:56" s="1" customFormat="1" ht="16.5" thickBot="1" x14ac:dyDescent="0.3">
      <c r="A129" s="284"/>
      <c r="B129" s="284"/>
      <c r="C129" s="121" t="s">
        <v>91</v>
      </c>
      <c r="D129" s="106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51">
        <f t="shared" si="11"/>
        <v>0</v>
      </c>
      <c r="AO129" s="45"/>
      <c r="AP129" s="33"/>
      <c r="AQ129" s="46"/>
      <c r="AR129" s="37"/>
      <c r="AS129" s="174"/>
      <c r="AT129" s="51"/>
      <c r="AU129" s="45"/>
      <c r="AV129" s="33"/>
      <c r="AW129" s="33"/>
      <c r="AX129" s="33"/>
      <c r="AY129" s="33"/>
      <c r="AZ129" s="46"/>
      <c r="BA129" s="37"/>
      <c r="BB129" s="51"/>
      <c r="BC129" s="84">
        <f t="shared" si="10"/>
        <v>0</v>
      </c>
      <c r="BD129" s="5"/>
    </row>
    <row r="130" spans="1:56" s="1" customFormat="1" ht="16.5" thickBot="1" x14ac:dyDescent="0.3">
      <c r="A130" s="237">
        <v>19</v>
      </c>
      <c r="B130" s="228">
        <v>790041</v>
      </c>
      <c r="C130" s="216" t="s">
        <v>24</v>
      </c>
      <c r="D130" s="143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>
        <v>89</v>
      </c>
      <c r="AM130" s="28">
        <v>38900</v>
      </c>
      <c r="AN130" s="52">
        <f t="shared" si="11"/>
        <v>38900</v>
      </c>
      <c r="AO130" s="47"/>
      <c r="AP130" s="29"/>
      <c r="AQ130" s="48"/>
      <c r="AR130" s="38"/>
      <c r="AS130" s="171"/>
      <c r="AT130" s="52"/>
      <c r="AU130" s="47"/>
      <c r="AV130" s="29"/>
      <c r="AW130" s="29"/>
      <c r="AX130" s="29"/>
      <c r="AY130" s="29"/>
      <c r="AZ130" s="48"/>
      <c r="BA130" s="38"/>
      <c r="BB130" s="52"/>
      <c r="BC130" s="100">
        <f t="shared" si="10"/>
        <v>38900</v>
      </c>
      <c r="BD130" s="5"/>
    </row>
    <row r="131" spans="1:56" s="1" customFormat="1" x14ac:dyDescent="0.25">
      <c r="A131" s="282">
        <v>20</v>
      </c>
      <c r="B131" s="282">
        <v>790044</v>
      </c>
      <c r="C131" s="95" t="s">
        <v>65</v>
      </c>
      <c r="D131" s="1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49">
        <f t="shared" si="11"/>
        <v>0</v>
      </c>
      <c r="AO131" s="39"/>
      <c r="AP131" s="31"/>
      <c r="AQ131" s="40"/>
      <c r="AR131" s="35"/>
      <c r="AS131" s="169"/>
      <c r="AT131" s="49"/>
      <c r="AU131" s="39"/>
      <c r="AV131" s="31"/>
      <c r="AW131" s="31"/>
      <c r="AX131" s="31"/>
      <c r="AY131" s="31"/>
      <c r="AZ131" s="40"/>
      <c r="BA131" s="35"/>
      <c r="BB131" s="49"/>
      <c r="BC131" s="83">
        <f t="shared" si="10"/>
        <v>0</v>
      </c>
      <c r="BD131" s="5"/>
    </row>
    <row r="132" spans="1:56" s="1" customFormat="1" x14ac:dyDescent="0.25">
      <c r="A132" s="283"/>
      <c r="B132" s="283"/>
      <c r="C132" s="135" t="s">
        <v>26</v>
      </c>
      <c r="D132" s="53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50">
        <f t="shared" si="11"/>
        <v>0</v>
      </c>
      <c r="AO132" s="43"/>
      <c r="AP132" s="27"/>
      <c r="AQ132" s="44"/>
      <c r="AR132" s="36"/>
      <c r="AS132" s="170"/>
      <c r="AT132" s="50"/>
      <c r="AU132" s="43"/>
      <c r="AV132" s="27"/>
      <c r="AW132" s="27"/>
      <c r="AX132" s="27"/>
      <c r="AY132" s="27"/>
      <c r="AZ132" s="44"/>
      <c r="BA132" s="36"/>
      <c r="BB132" s="50"/>
      <c r="BC132" s="82">
        <f t="shared" si="10"/>
        <v>0</v>
      </c>
      <c r="BD132" s="5"/>
    </row>
    <row r="133" spans="1:56" s="1" customFormat="1" x14ac:dyDescent="0.25">
      <c r="A133" s="283"/>
      <c r="B133" s="283"/>
      <c r="C133" s="134" t="s">
        <v>189</v>
      </c>
      <c r="D133" s="144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50">
        <f t="shared" si="11"/>
        <v>0</v>
      </c>
      <c r="AO133" s="62"/>
      <c r="AP133" s="63"/>
      <c r="AQ133" s="64"/>
      <c r="AR133" s="65"/>
      <c r="AS133" s="172"/>
      <c r="AT133" s="66"/>
      <c r="AU133" s="62"/>
      <c r="AV133" s="63"/>
      <c r="AW133" s="63"/>
      <c r="AX133" s="63"/>
      <c r="AY133" s="63"/>
      <c r="AZ133" s="64"/>
      <c r="BA133" s="65"/>
      <c r="BB133" s="66"/>
      <c r="BC133" s="82">
        <f t="shared" si="10"/>
        <v>0</v>
      </c>
      <c r="BD133" s="5"/>
    </row>
    <row r="134" spans="1:56" s="1" customFormat="1" x14ac:dyDescent="0.25">
      <c r="A134" s="283"/>
      <c r="B134" s="289"/>
      <c r="C134" s="129" t="s">
        <v>183</v>
      </c>
      <c r="D134" s="144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50">
        <f t="shared" si="11"/>
        <v>0</v>
      </c>
      <c r="AO134" s="62"/>
      <c r="AP134" s="63"/>
      <c r="AQ134" s="64"/>
      <c r="AR134" s="65"/>
      <c r="AS134" s="172"/>
      <c r="AT134" s="66"/>
      <c r="AU134" s="62"/>
      <c r="AV134" s="63"/>
      <c r="AW134" s="63"/>
      <c r="AX134" s="63"/>
      <c r="AY134" s="63"/>
      <c r="AZ134" s="64"/>
      <c r="BA134" s="65"/>
      <c r="BB134" s="66"/>
      <c r="BC134" s="82">
        <f t="shared" si="10"/>
        <v>0</v>
      </c>
      <c r="BD134" s="5"/>
    </row>
    <row r="135" spans="1:56" s="1" customFormat="1" ht="16.5" thickBot="1" x14ac:dyDescent="0.3">
      <c r="A135" s="284"/>
      <c r="B135" s="227">
        <v>791044</v>
      </c>
      <c r="C135" s="139" t="s">
        <v>32</v>
      </c>
      <c r="D135" s="106">
        <v>93</v>
      </c>
      <c r="E135" s="32">
        <v>56635</v>
      </c>
      <c r="F135" s="32">
        <v>51</v>
      </c>
      <c r="G135" s="32">
        <v>100908</v>
      </c>
      <c r="H135" s="32">
        <v>2</v>
      </c>
      <c r="I135" s="32">
        <v>1367</v>
      </c>
      <c r="J135" s="32">
        <v>1</v>
      </c>
      <c r="K135" s="32">
        <v>2190</v>
      </c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51">
        <f t="shared" si="11"/>
        <v>161100</v>
      </c>
      <c r="AO135" s="45"/>
      <c r="AP135" s="33">
        <v>5</v>
      </c>
      <c r="AQ135" s="46">
        <v>6775</v>
      </c>
      <c r="AR135" s="37">
        <v>2</v>
      </c>
      <c r="AS135" s="174"/>
      <c r="AT135" s="51">
        <v>44662</v>
      </c>
      <c r="AU135" s="45"/>
      <c r="AV135" s="33"/>
      <c r="AW135" s="33"/>
      <c r="AX135" s="33"/>
      <c r="AY135" s="33"/>
      <c r="AZ135" s="46"/>
      <c r="BA135" s="37"/>
      <c r="BB135" s="51"/>
      <c r="BC135" s="84">
        <f t="shared" si="10"/>
        <v>212537</v>
      </c>
      <c r="BD135" s="5"/>
    </row>
    <row r="136" spans="1:56" s="1" customFormat="1" ht="16.5" thickBot="1" x14ac:dyDescent="0.3">
      <c r="A136" s="237">
        <v>21</v>
      </c>
      <c r="B136" s="228">
        <v>790054</v>
      </c>
      <c r="C136" s="217" t="s">
        <v>122</v>
      </c>
      <c r="D136" s="143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52">
        <f t="shared" si="11"/>
        <v>0</v>
      </c>
      <c r="AO136" s="47"/>
      <c r="AP136" s="29"/>
      <c r="AQ136" s="48"/>
      <c r="AR136" s="38"/>
      <c r="AS136" s="171"/>
      <c r="AT136" s="52"/>
      <c r="AU136" s="47"/>
      <c r="AV136" s="29"/>
      <c r="AW136" s="29"/>
      <c r="AX136" s="29"/>
      <c r="AY136" s="29"/>
      <c r="AZ136" s="48"/>
      <c r="BA136" s="38"/>
      <c r="BB136" s="52"/>
      <c r="BC136" s="100">
        <f t="shared" si="10"/>
        <v>0</v>
      </c>
      <c r="BD136" s="5"/>
    </row>
    <row r="137" spans="1:56" s="1" customFormat="1" ht="16.5" thickBot="1" x14ac:dyDescent="0.3">
      <c r="A137" s="101">
        <v>22</v>
      </c>
      <c r="B137" s="94">
        <v>790057</v>
      </c>
      <c r="C137" s="132" t="s">
        <v>101</v>
      </c>
      <c r="D137" s="149"/>
      <c r="E137" s="55"/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60">
        <f t="shared" si="11"/>
        <v>0</v>
      </c>
      <c r="AO137" s="56"/>
      <c r="AP137" s="57"/>
      <c r="AQ137" s="58"/>
      <c r="AR137" s="59"/>
      <c r="AS137" s="173"/>
      <c r="AT137" s="60"/>
      <c r="AU137" s="56"/>
      <c r="AV137" s="57"/>
      <c r="AW137" s="57"/>
      <c r="AX137" s="57"/>
      <c r="AY137" s="57"/>
      <c r="AZ137" s="58"/>
      <c r="BA137" s="59"/>
      <c r="BB137" s="60"/>
      <c r="BC137" s="85">
        <f t="shared" si="10"/>
        <v>0</v>
      </c>
      <c r="BD137" s="5"/>
    </row>
    <row r="138" spans="1:56" s="1" customFormat="1" x14ac:dyDescent="0.25">
      <c r="A138" s="282">
        <v>23</v>
      </c>
      <c r="B138" s="282">
        <v>790060</v>
      </c>
      <c r="C138" s="131" t="s">
        <v>63</v>
      </c>
      <c r="D138" s="130">
        <v>25</v>
      </c>
      <c r="E138" s="30">
        <v>14632</v>
      </c>
      <c r="F138" s="30">
        <v>2</v>
      </c>
      <c r="G138" s="30">
        <v>2499</v>
      </c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40">
        <f t="shared" si="11"/>
        <v>17131</v>
      </c>
      <c r="AO138" s="39"/>
      <c r="AP138" s="31"/>
      <c r="AQ138" s="40"/>
      <c r="AR138" s="35"/>
      <c r="AS138" s="169"/>
      <c r="AT138" s="49"/>
      <c r="AU138" s="39"/>
      <c r="AV138" s="31"/>
      <c r="AW138" s="31"/>
      <c r="AX138" s="31"/>
      <c r="AY138" s="31"/>
      <c r="AZ138" s="40"/>
      <c r="BA138" s="35"/>
      <c r="BB138" s="49"/>
      <c r="BC138" s="83">
        <f t="shared" si="10"/>
        <v>17131</v>
      </c>
      <c r="BD138" s="5"/>
    </row>
    <row r="139" spans="1:56" s="1" customFormat="1" ht="16.5" thickBot="1" x14ac:dyDescent="0.3">
      <c r="A139" s="284"/>
      <c r="B139" s="284"/>
      <c r="C139" s="146" t="s">
        <v>183</v>
      </c>
      <c r="D139" s="142">
        <v>16</v>
      </c>
      <c r="E139" s="67">
        <v>9365</v>
      </c>
      <c r="F139" s="67">
        <v>4</v>
      </c>
      <c r="G139" s="67">
        <v>4997</v>
      </c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72">
        <f t="shared" si="11"/>
        <v>14362</v>
      </c>
      <c r="AO139" s="68"/>
      <c r="AP139" s="69"/>
      <c r="AQ139" s="70"/>
      <c r="AR139" s="71"/>
      <c r="AS139" s="176"/>
      <c r="AT139" s="72"/>
      <c r="AU139" s="68"/>
      <c r="AV139" s="69"/>
      <c r="AW139" s="69"/>
      <c r="AX139" s="69"/>
      <c r="AY139" s="69"/>
      <c r="AZ139" s="70"/>
      <c r="BA139" s="71"/>
      <c r="BB139" s="72"/>
      <c r="BC139" s="100">
        <f t="shared" si="10"/>
        <v>14362</v>
      </c>
      <c r="BD139" s="5"/>
    </row>
    <row r="140" spans="1:56" s="1" customFormat="1" x14ac:dyDescent="0.25">
      <c r="A140" s="282">
        <v>24</v>
      </c>
      <c r="B140" s="282">
        <v>790062</v>
      </c>
      <c r="C140" s="147" t="s">
        <v>62</v>
      </c>
      <c r="D140" s="1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49">
        <f t="shared" si="11"/>
        <v>0</v>
      </c>
      <c r="AO140" s="39"/>
      <c r="AP140" s="31"/>
      <c r="AQ140" s="40"/>
      <c r="AR140" s="35"/>
      <c r="AS140" s="169"/>
      <c r="AT140" s="49"/>
      <c r="AU140" s="39"/>
      <c r="AV140" s="31"/>
      <c r="AW140" s="31"/>
      <c r="AX140" s="31"/>
      <c r="AY140" s="31"/>
      <c r="AZ140" s="40"/>
      <c r="BA140" s="35"/>
      <c r="BB140" s="49"/>
      <c r="BC140" s="83">
        <f t="shared" si="10"/>
        <v>0</v>
      </c>
      <c r="BD140" s="5"/>
    </row>
    <row r="141" spans="1:56" s="1" customFormat="1" ht="16.5" thickBot="1" x14ac:dyDescent="0.3">
      <c r="A141" s="284"/>
      <c r="B141" s="284"/>
      <c r="C141" s="121" t="s">
        <v>60</v>
      </c>
      <c r="D141" s="144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>
        <v>45</v>
      </c>
      <c r="AM141" s="61">
        <v>7494</v>
      </c>
      <c r="AN141" s="66">
        <f t="shared" si="11"/>
        <v>7494</v>
      </c>
      <c r="AO141" s="62"/>
      <c r="AP141" s="63"/>
      <c r="AQ141" s="64"/>
      <c r="AR141" s="65"/>
      <c r="AS141" s="172"/>
      <c r="AT141" s="66"/>
      <c r="AU141" s="62"/>
      <c r="AV141" s="63"/>
      <c r="AW141" s="63"/>
      <c r="AX141" s="63"/>
      <c r="AY141" s="63"/>
      <c r="AZ141" s="64"/>
      <c r="BA141" s="65"/>
      <c r="BB141" s="66"/>
      <c r="BC141" s="115">
        <f t="shared" si="10"/>
        <v>7494</v>
      </c>
      <c r="BD141" s="5"/>
    </row>
    <row r="142" spans="1:56" s="1" customFormat="1" ht="16.5" thickBot="1" x14ac:dyDescent="0.3">
      <c r="A142" s="94">
        <v>25</v>
      </c>
      <c r="B142" s="101">
        <v>790063</v>
      </c>
      <c r="C142" s="131" t="s">
        <v>120</v>
      </c>
      <c r="D142" s="149">
        <v>26</v>
      </c>
      <c r="E142" s="55">
        <v>29352</v>
      </c>
      <c r="F142" s="55">
        <v>21</v>
      </c>
      <c r="G142" s="55">
        <v>33100</v>
      </c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5"/>
      <c r="U142" s="55"/>
      <c r="V142" s="55"/>
      <c r="W142" s="55"/>
      <c r="X142" s="55"/>
      <c r="Y142" s="55"/>
      <c r="Z142" s="55"/>
      <c r="AA142" s="55"/>
      <c r="AB142" s="55"/>
      <c r="AC142" s="55"/>
      <c r="AD142" s="55"/>
      <c r="AE142" s="55"/>
      <c r="AF142" s="55"/>
      <c r="AG142" s="55"/>
      <c r="AH142" s="55"/>
      <c r="AI142" s="55"/>
      <c r="AJ142" s="55"/>
      <c r="AK142" s="55"/>
      <c r="AL142" s="55"/>
      <c r="AM142" s="55"/>
      <c r="AN142" s="60">
        <f t="shared" si="11"/>
        <v>62452</v>
      </c>
      <c r="AO142" s="56"/>
      <c r="AP142" s="57"/>
      <c r="AQ142" s="58"/>
      <c r="AR142" s="59"/>
      <c r="AS142" s="173"/>
      <c r="AT142" s="60"/>
      <c r="AU142" s="56"/>
      <c r="AV142" s="57"/>
      <c r="AW142" s="57"/>
      <c r="AX142" s="57"/>
      <c r="AY142" s="57"/>
      <c r="AZ142" s="58"/>
      <c r="BA142" s="59"/>
      <c r="BB142" s="60"/>
      <c r="BC142" s="85">
        <f t="shared" si="10"/>
        <v>62452</v>
      </c>
      <c r="BD142" s="5"/>
    </row>
    <row r="143" spans="1:56" s="1" customFormat="1" ht="16.5" thickBot="1" x14ac:dyDescent="0.3">
      <c r="A143" s="226">
        <v>26</v>
      </c>
      <c r="B143" s="226">
        <v>790066</v>
      </c>
      <c r="C143" s="182" t="s">
        <v>57</v>
      </c>
      <c r="D143" s="149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60">
        <f t="shared" si="11"/>
        <v>0</v>
      </c>
      <c r="AO143" s="56"/>
      <c r="AP143" s="57"/>
      <c r="AQ143" s="58"/>
      <c r="AR143" s="59"/>
      <c r="AS143" s="173"/>
      <c r="AT143" s="60"/>
      <c r="AU143" s="56"/>
      <c r="AV143" s="57"/>
      <c r="AW143" s="57"/>
      <c r="AX143" s="57"/>
      <c r="AY143" s="57"/>
      <c r="AZ143" s="58"/>
      <c r="BA143" s="59"/>
      <c r="BB143" s="60"/>
      <c r="BC143" s="85">
        <f t="shared" si="10"/>
        <v>0</v>
      </c>
      <c r="BD143" s="5"/>
    </row>
    <row r="144" spans="1:56" s="1" customFormat="1" ht="16.5" thickBot="1" x14ac:dyDescent="0.3">
      <c r="A144" s="225">
        <v>27</v>
      </c>
      <c r="B144" s="225">
        <v>790068</v>
      </c>
      <c r="C144" s="131" t="s">
        <v>61</v>
      </c>
      <c r="D144" s="143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>
        <v>534</v>
      </c>
      <c r="AM144" s="28">
        <v>123050</v>
      </c>
      <c r="AN144" s="52">
        <f t="shared" si="11"/>
        <v>123050</v>
      </c>
      <c r="AO144" s="47"/>
      <c r="AP144" s="29"/>
      <c r="AQ144" s="48"/>
      <c r="AR144" s="38"/>
      <c r="AS144" s="171"/>
      <c r="AT144" s="52"/>
      <c r="AU144" s="47"/>
      <c r="AV144" s="29"/>
      <c r="AW144" s="29"/>
      <c r="AX144" s="29"/>
      <c r="AY144" s="29"/>
      <c r="AZ144" s="48"/>
      <c r="BA144" s="38"/>
      <c r="BB144" s="52"/>
      <c r="BC144" s="100">
        <f t="shared" si="10"/>
        <v>123050</v>
      </c>
      <c r="BD144" s="5"/>
    </row>
    <row r="145" spans="1:56" s="1" customFormat="1" ht="16.5" thickBot="1" x14ac:dyDescent="0.3">
      <c r="A145" s="94">
        <v>28</v>
      </c>
      <c r="B145" s="94">
        <v>790070</v>
      </c>
      <c r="C145" s="141" t="s">
        <v>124</v>
      </c>
      <c r="D145" s="183"/>
      <c r="E145" s="164"/>
      <c r="F145" s="164"/>
      <c r="G145" s="164"/>
      <c r="H145" s="164"/>
      <c r="I145" s="164"/>
      <c r="J145" s="164"/>
      <c r="K145" s="164"/>
      <c r="L145" s="164"/>
      <c r="M145" s="164"/>
      <c r="N145" s="164"/>
      <c r="O145" s="164"/>
      <c r="P145" s="164"/>
      <c r="Q145" s="164"/>
      <c r="R145" s="164"/>
      <c r="S145" s="164"/>
      <c r="T145" s="164"/>
      <c r="U145" s="164"/>
      <c r="V145" s="164"/>
      <c r="W145" s="164"/>
      <c r="X145" s="164"/>
      <c r="Y145" s="164"/>
      <c r="Z145" s="164"/>
      <c r="AA145" s="164"/>
      <c r="AB145" s="164"/>
      <c r="AC145" s="164"/>
      <c r="AD145" s="164"/>
      <c r="AE145" s="164"/>
      <c r="AF145" s="164"/>
      <c r="AG145" s="164"/>
      <c r="AH145" s="164"/>
      <c r="AI145" s="164"/>
      <c r="AJ145" s="164"/>
      <c r="AK145" s="164"/>
      <c r="AL145" s="164"/>
      <c r="AM145" s="164"/>
      <c r="AN145" s="99">
        <f t="shared" si="11"/>
        <v>0</v>
      </c>
      <c r="AO145" s="102"/>
      <c r="AP145" s="103"/>
      <c r="AQ145" s="104"/>
      <c r="AR145" s="105"/>
      <c r="AS145" s="177"/>
      <c r="AT145" s="99"/>
      <c r="AU145" s="102"/>
      <c r="AV145" s="103"/>
      <c r="AW145" s="103"/>
      <c r="AX145" s="103"/>
      <c r="AY145" s="103"/>
      <c r="AZ145" s="104"/>
      <c r="BA145" s="105"/>
      <c r="BB145" s="99"/>
      <c r="BC145" s="122">
        <f t="shared" si="10"/>
        <v>0</v>
      </c>
      <c r="BD145" s="5"/>
    </row>
    <row r="146" spans="1:56" s="1" customFormat="1" ht="16.5" thickBot="1" x14ac:dyDescent="0.3">
      <c r="A146" s="229">
        <v>29</v>
      </c>
      <c r="B146" s="225">
        <v>790071</v>
      </c>
      <c r="C146" s="218" t="s">
        <v>107</v>
      </c>
      <c r="D146" s="149"/>
      <c r="E146" s="55"/>
      <c r="F146" s="55"/>
      <c r="G146" s="55"/>
      <c r="H146" s="55"/>
      <c r="I146" s="55"/>
      <c r="J146" s="55"/>
      <c r="K146" s="55"/>
      <c r="L146" s="55"/>
      <c r="M146" s="55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>
        <v>720</v>
      </c>
      <c r="AM146" s="55">
        <v>227488</v>
      </c>
      <c r="AN146" s="60">
        <f t="shared" si="11"/>
        <v>227488</v>
      </c>
      <c r="AO146" s="56"/>
      <c r="AP146" s="57"/>
      <c r="AQ146" s="58"/>
      <c r="AR146" s="59"/>
      <c r="AS146" s="173"/>
      <c r="AT146" s="60"/>
      <c r="AU146" s="56"/>
      <c r="AV146" s="57"/>
      <c r="AW146" s="57"/>
      <c r="AX146" s="57"/>
      <c r="AY146" s="57"/>
      <c r="AZ146" s="58"/>
      <c r="BA146" s="59"/>
      <c r="BB146" s="60"/>
      <c r="BC146" s="85">
        <f t="shared" si="10"/>
        <v>227488</v>
      </c>
      <c r="BD146" s="5"/>
    </row>
    <row r="147" spans="1:56" s="1" customFormat="1" ht="16.5" thickBot="1" x14ac:dyDescent="0.3">
      <c r="A147" s="94">
        <v>30</v>
      </c>
      <c r="B147" s="101">
        <v>790072</v>
      </c>
      <c r="C147" s="182" t="s">
        <v>88</v>
      </c>
      <c r="D147" s="183"/>
      <c r="E147" s="164"/>
      <c r="F147" s="164"/>
      <c r="G147" s="164"/>
      <c r="H147" s="164"/>
      <c r="I147" s="164"/>
      <c r="J147" s="164"/>
      <c r="K147" s="164"/>
      <c r="L147" s="164"/>
      <c r="M147" s="164"/>
      <c r="N147" s="164"/>
      <c r="O147" s="164"/>
      <c r="P147" s="164"/>
      <c r="Q147" s="164"/>
      <c r="R147" s="164"/>
      <c r="S147" s="164"/>
      <c r="T147" s="164"/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/>
      <c r="AF147" s="164"/>
      <c r="AG147" s="164"/>
      <c r="AH147" s="164"/>
      <c r="AI147" s="164"/>
      <c r="AJ147" s="164"/>
      <c r="AK147" s="164"/>
      <c r="AL147" s="164"/>
      <c r="AM147" s="164"/>
      <c r="AN147" s="99">
        <f t="shared" si="11"/>
        <v>0</v>
      </c>
      <c r="AO147" s="102"/>
      <c r="AP147" s="103"/>
      <c r="AQ147" s="104"/>
      <c r="AR147" s="105"/>
      <c r="AS147" s="177"/>
      <c r="AT147" s="99"/>
      <c r="AU147" s="102"/>
      <c r="AV147" s="103"/>
      <c r="AW147" s="103"/>
      <c r="AX147" s="103"/>
      <c r="AY147" s="103"/>
      <c r="AZ147" s="104"/>
      <c r="BA147" s="105"/>
      <c r="BB147" s="99"/>
      <c r="BC147" s="122">
        <f t="shared" si="10"/>
        <v>0</v>
      </c>
      <c r="BD147" s="5"/>
    </row>
    <row r="148" spans="1:56" s="1" customFormat="1" ht="16.5" thickBot="1" x14ac:dyDescent="0.3">
      <c r="A148" s="94">
        <v>31</v>
      </c>
      <c r="B148" s="94">
        <v>790074</v>
      </c>
      <c r="C148" s="131" t="s">
        <v>96</v>
      </c>
      <c r="D148" s="149"/>
      <c r="E148" s="55"/>
      <c r="F148" s="55"/>
      <c r="G148" s="55"/>
      <c r="H148" s="55"/>
      <c r="I148" s="55"/>
      <c r="J148" s="55"/>
      <c r="K148" s="55"/>
      <c r="L148" s="55"/>
      <c r="M148" s="55"/>
      <c r="N148" s="55"/>
      <c r="O148" s="55"/>
      <c r="P148" s="55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60">
        <f t="shared" si="11"/>
        <v>0</v>
      </c>
      <c r="AO148" s="56"/>
      <c r="AP148" s="57"/>
      <c r="AQ148" s="58"/>
      <c r="AR148" s="59"/>
      <c r="AS148" s="173"/>
      <c r="AT148" s="60"/>
      <c r="AU148" s="56"/>
      <c r="AV148" s="57"/>
      <c r="AW148" s="57"/>
      <c r="AX148" s="57"/>
      <c r="AY148" s="57"/>
      <c r="AZ148" s="58"/>
      <c r="BA148" s="59"/>
      <c r="BB148" s="60"/>
      <c r="BC148" s="85">
        <f t="shared" si="10"/>
        <v>0</v>
      </c>
      <c r="BD148" s="5"/>
    </row>
    <row r="149" spans="1:56" s="1" customFormat="1" ht="16.5" thickBot="1" x14ac:dyDescent="0.3">
      <c r="A149" s="94">
        <v>32</v>
      </c>
      <c r="B149" s="94">
        <v>790075</v>
      </c>
      <c r="C149" s="141" t="s">
        <v>99</v>
      </c>
      <c r="D149" s="149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60">
        <f t="shared" si="11"/>
        <v>0</v>
      </c>
      <c r="AO149" s="56"/>
      <c r="AP149" s="57"/>
      <c r="AQ149" s="58"/>
      <c r="AR149" s="59"/>
      <c r="AS149" s="173"/>
      <c r="AT149" s="60"/>
      <c r="AU149" s="56"/>
      <c r="AV149" s="57"/>
      <c r="AW149" s="57"/>
      <c r="AX149" s="57"/>
      <c r="AY149" s="57"/>
      <c r="AZ149" s="58"/>
      <c r="BA149" s="59"/>
      <c r="BB149" s="60"/>
      <c r="BC149" s="85">
        <f t="shared" si="10"/>
        <v>0</v>
      </c>
      <c r="BD149" s="5"/>
    </row>
    <row r="150" spans="1:56" s="1" customFormat="1" ht="16.5" thickBot="1" x14ac:dyDescent="0.3">
      <c r="A150" s="229">
        <v>33</v>
      </c>
      <c r="B150" s="225">
        <v>790078</v>
      </c>
      <c r="C150" s="218" t="s">
        <v>102</v>
      </c>
      <c r="D150" s="142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72">
        <f t="shared" si="11"/>
        <v>0</v>
      </c>
      <c r="AO150" s="68"/>
      <c r="AP150" s="69"/>
      <c r="AQ150" s="70"/>
      <c r="AR150" s="71"/>
      <c r="AS150" s="176"/>
      <c r="AT150" s="72"/>
      <c r="AU150" s="68"/>
      <c r="AV150" s="69"/>
      <c r="AW150" s="69"/>
      <c r="AX150" s="69"/>
      <c r="AY150" s="69"/>
      <c r="AZ150" s="70"/>
      <c r="BA150" s="71"/>
      <c r="BB150" s="72"/>
      <c r="BC150" s="116">
        <f t="shared" si="10"/>
        <v>0</v>
      </c>
      <c r="BD150" s="5"/>
    </row>
    <row r="151" spans="1:56" s="1" customFormat="1" ht="16.5" thickBot="1" x14ac:dyDescent="0.3">
      <c r="A151" s="101">
        <v>34</v>
      </c>
      <c r="B151" s="94">
        <v>790083</v>
      </c>
      <c r="C151" s="141" t="s">
        <v>125</v>
      </c>
      <c r="D151" s="183"/>
      <c r="E151" s="164"/>
      <c r="F151" s="164"/>
      <c r="G151" s="164"/>
      <c r="H151" s="164"/>
      <c r="I151" s="164"/>
      <c r="J151" s="164"/>
      <c r="K151" s="164"/>
      <c r="L151" s="164"/>
      <c r="M151" s="164"/>
      <c r="N151" s="164"/>
      <c r="O151" s="164"/>
      <c r="P151" s="164"/>
      <c r="Q151" s="164"/>
      <c r="R151" s="164"/>
      <c r="S151" s="164"/>
      <c r="T151" s="164"/>
      <c r="U151" s="164"/>
      <c r="V151" s="164"/>
      <c r="W151" s="164"/>
      <c r="X151" s="164"/>
      <c r="Y151" s="164"/>
      <c r="Z151" s="164"/>
      <c r="AA151" s="164"/>
      <c r="AB151" s="164"/>
      <c r="AC151" s="164"/>
      <c r="AD151" s="164"/>
      <c r="AE151" s="164"/>
      <c r="AF151" s="164"/>
      <c r="AG151" s="164"/>
      <c r="AH151" s="164"/>
      <c r="AI151" s="164"/>
      <c r="AJ151" s="164"/>
      <c r="AK151" s="164"/>
      <c r="AL151" s="164"/>
      <c r="AM151" s="164"/>
      <c r="AN151" s="99">
        <f t="shared" si="11"/>
        <v>0</v>
      </c>
      <c r="AO151" s="102"/>
      <c r="AP151" s="103"/>
      <c r="AQ151" s="104"/>
      <c r="AR151" s="105"/>
      <c r="AS151" s="177"/>
      <c r="AT151" s="99"/>
      <c r="AU151" s="102"/>
      <c r="AV151" s="103"/>
      <c r="AW151" s="103"/>
      <c r="AX151" s="103"/>
      <c r="AY151" s="103"/>
      <c r="AZ151" s="104"/>
      <c r="BA151" s="105"/>
      <c r="BB151" s="99"/>
      <c r="BC151" s="122">
        <f t="shared" si="10"/>
        <v>0</v>
      </c>
      <c r="BD151" s="5"/>
    </row>
    <row r="152" spans="1:56" s="1" customFormat="1" ht="16.5" thickBot="1" x14ac:dyDescent="0.3">
      <c r="A152" s="232">
        <v>35</v>
      </c>
      <c r="B152" s="234">
        <v>790087</v>
      </c>
      <c r="C152" s="131" t="s">
        <v>117</v>
      </c>
      <c r="D152" s="149"/>
      <c r="E152" s="55"/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  <c r="U152" s="55"/>
      <c r="V152" s="55"/>
      <c r="W152" s="55"/>
      <c r="X152" s="55"/>
      <c r="Y152" s="55"/>
      <c r="Z152" s="55"/>
      <c r="AA152" s="55"/>
      <c r="AB152" s="55"/>
      <c r="AC152" s="55"/>
      <c r="AD152" s="55"/>
      <c r="AE152" s="55"/>
      <c r="AF152" s="55"/>
      <c r="AG152" s="55"/>
      <c r="AH152" s="55"/>
      <c r="AI152" s="55"/>
      <c r="AJ152" s="55"/>
      <c r="AK152" s="55"/>
      <c r="AL152" s="55"/>
      <c r="AM152" s="55"/>
      <c r="AN152" s="60">
        <f t="shared" si="11"/>
        <v>0</v>
      </c>
      <c r="AO152" s="56"/>
      <c r="AP152" s="57"/>
      <c r="AQ152" s="58"/>
      <c r="AR152" s="59"/>
      <c r="AS152" s="173"/>
      <c r="AT152" s="60"/>
      <c r="AU152" s="56"/>
      <c r="AV152" s="57"/>
      <c r="AW152" s="57"/>
      <c r="AX152" s="57"/>
      <c r="AY152" s="57"/>
      <c r="AZ152" s="58"/>
      <c r="BA152" s="59"/>
      <c r="BB152" s="60"/>
      <c r="BC152" s="85">
        <f t="shared" si="10"/>
        <v>0</v>
      </c>
      <c r="BD152" s="5"/>
    </row>
    <row r="153" spans="1:56" s="1" customFormat="1" x14ac:dyDescent="0.25">
      <c r="A153" s="282">
        <v>36</v>
      </c>
      <c r="B153" s="282">
        <v>790090</v>
      </c>
      <c r="C153" s="147" t="s">
        <v>118</v>
      </c>
      <c r="D153" s="1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>
        <v>14</v>
      </c>
      <c r="AC153" s="30">
        <v>78379</v>
      </c>
      <c r="AD153" s="30"/>
      <c r="AE153" s="30"/>
      <c r="AF153" s="30">
        <v>8</v>
      </c>
      <c r="AG153" s="30">
        <v>19797</v>
      </c>
      <c r="AH153" s="30">
        <v>11</v>
      </c>
      <c r="AI153" s="30">
        <v>34157</v>
      </c>
      <c r="AJ153" s="30"/>
      <c r="AK153" s="30"/>
      <c r="AL153" s="30"/>
      <c r="AM153" s="30"/>
      <c r="AN153" s="40">
        <f t="shared" si="11"/>
        <v>132333</v>
      </c>
      <c r="AO153" s="35"/>
      <c r="AP153" s="31"/>
      <c r="AQ153" s="49"/>
      <c r="AR153" s="39"/>
      <c r="AS153" s="169"/>
      <c r="AT153" s="40"/>
      <c r="AU153" s="39"/>
      <c r="AV153" s="31"/>
      <c r="AW153" s="31"/>
      <c r="AX153" s="31"/>
      <c r="AY153" s="31"/>
      <c r="AZ153" s="40"/>
      <c r="BA153" s="35"/>
      <c r="BB153" s="49"/>
      <c r="BC153" s="83">
        <f t="shared" si="10"/>
        <v>132333</v>
      </c>
      <c r="BD153" s="5"/>
    </row>
    <row r="154" spans="1:56" s="1" customFormat="1" ht="32.25" thickBot="1" x14ac:dyDescent="0.3">
      <c r="A154" s="284"/>
      <c r="B154" s="284"/>
      <c r="C154" s="121" t="s">
        <v>177</v>
      </c>
      <c r="D154" s="106">
        <v>12</v>
      </c>
      <c r="E154" s="32">
        <v>11713</v>
      </c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48">
        <f t="shared" si="11"/>
        <v>11713</v>
      </c>
      <c r="AO154" s="37"/>
      <c r="AP154" s="33"/>
      <c r="AQ154" s="51"/>
      <c r="AR154" s="45"/>
      <c r="AS154" s="174"/>
      <c r="AT154" s="46"/>
      <c r="AU154" s="45"/>
      <c r="AV154" s="33"/>
      <c r="AW154" s="33"/>
      <c r="AX154" s="33"/>
      <c r="AY154" s="33"/>
      <c r="AZ154" s="46"/>
      <c r="BA154" s="37"/>
      <c r="BB154" s="51"/>
      <c r="BC154" s="100">
        <f t="shared" si="10"/>
        <v>11713</v>
      </c>
      <c r="BD154" s="5"/>
    </row>
    <row r="155" spans="1:56" s="1" customFormat="1" ht="16.5" thickBot="1" x14ac:dyDescent="0.3">
      <c r="A155" s="231">
        <v>37</v>
      </c>
      <c r="B155" s="233">
        <v>790093</v>
      </c>
      <c r="C155" s="131" t="s">
        <v>127</v>
      </c>
      <c r="D155" s="149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60">
        <f t="shared" si="11"/>
        <v>0</v>
      </c>
      <c r="AO155" s="56"/>
      <c r="AP155" s="57"/>
      <c r="AQ155" s="58"/>
      <c r="AR155" s="59"/>
      <c r="AS155" s="173"/>
      <c r="AT155" s="60"/>
      <c r="AU155" s="56"/>
      <c r="AV155" s="57"/>
      <c r="AW155" s="57"/>
      <c r="AX155" s="57"/>
      <c r="AY155" s="57"/>
      <c r="AZ155" s="58"/>
      <c r="BA155" s="59"/>
      <c r="BB155" s="60"/>
      <c r="BC155" s="85">
        <f t="shared" si="10"/>
        <v>0</v>
      </c>
      <c r="BD155" s="5"/>
    </row>
    <row r="156" spans="1:56" s="1" customFormat="1" ht="16.5" thickBot="1" x14ac:dyDescent="0.3">
      <c r="A156" s="165">
        <v>38</v>
      </c>
      <c r="B156" s="166">
        <v>790094</v>
      </c>
      <c r="C156" s="167" t="s">
        <v>172</v>
      </c>
      <c r="D156" s="149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60">
        <f t="shared" si="11"/>
        <v>0</v>
      </c>
      <c r="AO156" s="56"/>
      <c r="AP156" s="57"/>
      <c r="AQ156" s="58"/>
      <c r="AR156" s="59"/>
      <c r="AS156" s="173"/>
      <c r="AT156" s="60"/>
      <c r="AU156" s="56"/>
      <c r="AV156" s="57"/>
      <c r="AW156" s="57"/>
      <c r="AX156" s="57"/>
      <c r="AY156" s="57"/>
      <c r="AZ156" s="58"/>
      <c r="BA156" s="59"/>
      <c r="BB156" s="60"/>
      <c r="BC156" s="85">
        <f t="shared" si="10"/>
        <v>0</v>
      </c>
      <c r="BD156" s="5"/>
    </row>
    <row r="157" spans="1:56" s="1" customFormat="1" ht="16.5" thickBot="1" x14ac:dyDescent="0.3">
      <c r="A157" s="232">
        <v>39</v>
      </c>
      <c r="B157" s="234">
        <v>790095</v>
      </c>
      <c r="C157" s="162" t="s">
        <v>173</v>
      </c>
      <c r="D157" s="143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52">
        <f>E157+G157+M157+O157+Q157+S157+AA157+AC157+AE157+AG157+AI157+AK157+AM157+I157+K157</f>
        <v>0</v>
      </c>
      <c r="AO157" s="47"/>
      <c r="AP157" s="29"/>
      <c r="AQ157" s="48"/>
      <c r="AR157" s="38"/>
      <c r="AS157" s="171"/>
      <c r="AT157" s="52"/>
      <c r="AU157" s="47"/>
      <c r="AV157" s="29"/>
      <c r="AW157" s="29"/>
      <c r="AX157" s="29"/>
      <c r="AY157" s="29"/>
      <c r="AZ157" s="48"/>
      <c r="BA157" s="38"/>
      <c r="BB157" s="52"/>
      <c r="BC157" s="100">
        <f t="shared" si="10"/>
        <v>0</v>
      </c>
      <c r="BD157" s="5"/>
    </row>
    <row r="158" spans="1:56" s="1" customFormat="1" ht="16.5" thickBot="1" x14ac:dyDescent="0.3">
      <c r="A158" s="165">
        <v>40</v>
      </c>
      <c r="B158" s="166">
        <v>790096</v>
      </c>
      <c r="C158" s="141" t="s">
        <v>174</v>
      </c>
      <c r="D158" s="149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60">
        <f t="shared" si="11"/>
        <v>0</v>
      </c>
      <c r="AO158" s="56"/>
      <c r="AP158" s="57"/>
      <c r="AQ158" s="58"/>
      <c r="AR158" s="59"/>
      <c r="AS158" s="173"/>
      <c r="AT158" s="60"/>
      <c r="AU158" s="56"/>
      <c r="AV158" s="57"/>
      <c r="AW158" s="57"/>
      <c r="AX158" s="57"/>
      <c r="AY158" s="57"/>
      <c r="AZ158" s="58"/>
      <c r="BA158" s="59"/>
      <c r="BB158" s="60"/>
      <c r="BC158" s="85">
        <f t="shared" si="10"/>
        <v>0</v>
      </c>
      <c r="BD158" s="5"/>
    </row>
    <row r="159" spans="1:56" s="1" customFormat="1" ht="16.5" thickBot="1" x14ac:dyDescent="0.3">
      <c r="A159" s="16"/>
      <c r="B159" s="153"/>
      <c r="C159" s="132" t="s">
        <v>5</v>
      </c>
      <c r="D159" s="15">
        <f t="shared" ref="D159:AN159" si="12">SUM(D5:D158)</f>
        <v>30246</v>
      </c>
      <c r="E159" s="9">
        <f t="shared" si="12"/>
        <v>16288968</v>
      </c>
      <c r="F159" s="9">
        <f t="shared" si="12"/>
        <v>5055</v>
      </c>
      <c r="G159" s="9">
        <f t="shared" si="12"/>
        <v>7138512</v>
      </c>
      <c r="H159" s="9">
        <f t="shared" si="12"/>
        <v>2297</v>
      </c>
      <c r="I159" s="9">
        <f t="shared" si="12"/>
        <v>1010743</v>
      </c>
      <c r="J159" s="9">
        <f t="shared" si="12"/>
        <v>93</v>
      </c>
      <c r="K159" s="9">
        <f t="shared" si="12"/>
        <v>180394</v>
      </c>
      <c r="L159" s="9">
        <f t="shared" si="12"/>
        <v>27</v>
      </c>
      <c r="M159" s="9">
        <f t="shared" si="12"/>
        <v>60964</v>
      </c>
      <c r="N159" s="9">
        <f t="shared" si="12"/>
        <v>16</v>
      </c>
      <c r="O159" s="9">
        <f t="shared" si="12"/>
        <v>89947</v>
      </c>
      <c r="P159" s="9">
        <f t="shared" si="12"/>
        <v>46</v>
      </c>
      <c r="Q159" s="9">
        <f t="shared" si="12"/>
        <v>86997</v>
      </c>
      <c r="R159" s="9">
        <f t="shared" si="12"/>
        <v>92</v>
      </c>
      <c r="S159" s="9">
        <f t="shared" si="12"/>
        <v>403984</v>
      </c>
      <c r="T159" s="9">
        <f t="shared" si="12"/>
        <v>62</v>
      </c>
      <c r="U159" s="9">
        <f t="shared" si="12"/>
        <v>123125</v>
      </c>
      <c r="V159" s="9">
        <f t="shared" si="12"/>
        <v>47</v>
      </c>
      <c r="W159" s="9">
        <f t="shared" si="12"/>
        <v>87605</v>
      </c>
      <c r="X159" s="9">
        <f t="shared" si="12"/>
        <v>2955</v>
      </c>
      <c r="Y159" s="9">
        <f t="shared" si="12"/>
        <v>700</v>
      </c>
      <c r="Z159" s="9">
        <f t="shared" si="12"/>
        <v>120</v>
      </c>
      <c r="AA159" s="9">
        <f t="shared" si="12"/>
        <v>2212465</v>
      </c>
      <c r="AB159" s="9">
        <f t="shared" si="12"/>
        <v>764</v>
      </c>
      <c r="AC159" s="9">
        <f t="shared" si="12"/>
        <v>3726003</v>
      </c>
      <c r="AD159" s="9">
        <f t="shared" si="12"/>
        <v>255</v>
      </c>
      <c r="AE159" s="9">
        <f t="shared" si="12"/>
        <v>475049</v>
      </c>
      <c r="AF159" s="9">
        <f t="shared" si="12"/>
        <v>604</v>
      </c>
      <c r="AG159" s="9">
        <f t="shared" si="12"/>
        <v>590239</v>
      </c>
      <c r="AH159" s="9">
        <f t="shared" si="12"/>
        <v>2242</v>
      </c>
      <c r="AI159" s="9">
        <f t="shared" si="12"/>
        <v>6457391</v>
      </c>
      <c r="AJ159" s="9">
        <f t="shared" si="12"/>
        <v>5506</v>
      </c>
      <c r="AK159" s="9">
        <f t="shared" si="12"/>
        <v>7812092</v>
      </c>
      <c r="AL159" s="9">
        <f t="shared" si="12"/>
        <v>6742</v>
      </c>
      <c r="AM159" s="9">
        <f t="shared" si="12"/>
        <v>4776938</v>
      </c>
      <c r="AN159" s="14">
        <f t="shared" si="12"/>
        <v>51521416</v>
      </c>
      <c r="AO159" s="15">
        <f>SUM(AO5:AO158)-AO6-AO7-AO8-AO115-AO122-AO133-AO13-AO14-AO66-AO67</f>
        <v>1358</v>
      </c>
      <c r="AP159" s="15">
        <f>SUM(AP5:AP158)-AP6-AP7-AP8-AP115-AP122</f>
        <v>95</v>
      </c>
      <c r="AQ159" s="196">
        <f>SUM(AQ5:AQ158)-AQ6-AQ7-AQ8-AQ115-AQ122-AQ133-AQ13-AQ14-AQ66-AQ67</f>
        <v>87986625</v>
      </c>
      <c r="AR159" s="11">
        <f t="shared" ref="AR159:AT159" si="13">SUM(AR5:AR158)-AR6-AR7-AR8-AR115-AR122</f>
        <v>284</v>
      </c>
      <c r="AS159" s="11">
        <f t="shared" si="13"/>
        <v>0</v>
      </c>
      <c r="AT159" s="11">
        <f t="shared" si="13"/>
        <v>4002371</v>
      </c>
      <c r="AU159" s="11">
        <f t="shared" ref="AU159:BB159" si="14">SUM(AU5:AU157)</f>
        <v>6562</v>
      </c>
      <c r="AV159" s="9">
        <f t="shared" si="14"/>
        <v>29707</v>
      </c>
      <c r="AW159" s="9">
        <f t="shared" si="14"/>
        <v>8880602</v>
      </c>
      <c r="AX159" s="9">
        <f t="shared" si="14"/>
        <v>39</v>
      </c>
      <c r="AY159" s="9">
        <f t="shared" si="14"/>
        <v>970</v>
      </c>
      <c r="AZ159" s="10">
        <f t="shared" si="14"/>
        <v>298707</v>
      </c>
      <c r="BA159" s="15">
        <f t="shared" si="14"/>
        <v>2543</v>
      </c>
      <c r="BB159" s="14">
        <f t="shared" si="14"/>
        <v>12992743</v>
      </c>
      <c r="BC159" s="25">
        <f>SUM(BC5:BC158)-BC6-BC7-BC8-BC115-BC122-BC133-BC13</f>
        <v>165682464</v>
      </c>
      <c r="BD159" s="92"/>
    </row>
    <row r="160" spans="1:56" s="1" customFormat="1" x14ac:dyDescent="0.25">
      <c r="A160" s="2"/>
      <c r="B160" s="2"/>
      <c r="AV160" s="80"/>
      <c r="AW160" s="80"/>
      <c r="AX160" s="80"/>
      <c r="AY160" s="80"/>
      <c r="AZ160" s="81"/>
      <c r="BB160" s="78"/>
      <c r="BC160" s="92"/>
      <c r="BD160" s="90"/>
    </row>
    <row r="161" spans="1:56" s="1" customFormat="1" x14ac:dyDescent="0.25">
      <c r="A161" s="6"/>
      <c r="B161" s="6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155"/>
      <c r="AO161" s="7"/>
      <c r="AP161" s="7"/>
      <c r="AQ161" s="155"/>
      <c r="AR161" s="7"/>
      <c r="AS161" s="7"/>
      <c r="AT161" s="155"/>
      <c r="AU161" s="7"/>
      <c r="AV161" s="7"/>
      <c r="AW161" s="155"/>
      <c r="AX161" s="7"/>
      <c r="AY161" s="7"/>
      <c r="AZ161" s="78"/>
      <c r="BA161" s="7"/>
      <c r="BB161" s="91"/>
      <c r="BC161" s="154"/>
      <c r="BD161" s="78"/>
    </row>
    <row r="162" spans="1:56" s="1" customFormat="1" x14ac:dyDescent="0.25">
      <c r="A162" s="6"/>
      <c r="B162" s="6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8"/>
      <c r="BA162" s="7"/>
      <c r="BB162" s="8"/>
      <c r="BC162" s="7"/>
      <c r="BD162" s="86"/>
    </row>
    <row r="163" spans="1:56" s="152" customFormat="1" x14ac:dyDescent="0.25">
      <c r="A163" s="6"/>
      <c r="B163" s="6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155"/>
      <c r="AO163" s="7"/>
      <c r="AP163" s="7"/>
      <c r="AQ163" s="155"/>
      <c r="AR163" s="7"/>
      <c r="AS163" s="7"/>
      <c r="AT163" s="155"/>
      <c r="AU163" s="7"/>
      <c r="AV163" s="7"/>
      <c r="AW163" s="7"/>
      <c r="AX163" s="7"/>
      <c r="AY163" s="7"/>
      <c r="AZ163" s="7"/>
      <c r="BA163" s="7"/>
      <c r="BB163" s="8"/>
      <c r="BC163" s="155"/>
      <c r="BD163" s="88"/>
    </row>
    <row r="164" spans="1:56" s="152" customFormat="1" x14ac:dyDescent="0.25">
      <c r="A164" s="6"/>
      <c r="B164" s="6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128"/>
      <c r="AR164" s="156"/>
      <c r="AS164" s="156"/>
      <c r="AT164" s="7"/>
      <c r="AU164" s="7"/>
      <c r="AV164" s="157"/>
      <c r="AW164" s="7"/>
      <c r="AX164" s="7"/>
      <c r="AY164" s="7"/>
      <c r="AZ164" s="7"/>
      <c r="BA164" s="7"/>
      <c r="BB164" s="8"/>
      <c r="BC164" s="155"/>
      <c r="BD164" s="88"/>
    </row>
    <row r="165" spans="1:56" s="152" customFormat="1" x14ac:dyDescent="0.25">
      <c r="A165" s="6"/>
      <c r="B165" s="6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155"/>
      <c r="AO165" s="7"/>
      <c r="AP165" s="7"/>
      <c r="AQ165" s="7"/>
      <c r="AR165" s="156"/>
      <c r="AS165" s="156"/>
      <c r="AT165" s="7"/>
      <c r="AU165" s="7"/>
      <c r="AV165" s="157"/>
      <c r="AW165" s="7"/>
      <c r="AX165" s="7"/>
      <c r="AY165" s="7"/>
      <c r="AZ165" s="7"/>
      <c r="BA165" s="7"/>
      <c r="BB165" s="8"/>
      <c r="BC165" s="7"/>
      <c r="BD165" s="88"/>
    </row>
    <row r="166" spans="1:56" s="1" customFormat="1" x14ac:dyDescent="0.25">
      <c r="A166" s="6"/>
      <c r="B166" s="6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156"/>
      <c r="AS166" s="156"/>
      <c r="AT166" s="7"/>
      <c r="AU166" s="7"/>
      <c r="AV166" s="157"/>
      <c r="AW166" s="7"/>
      <c r="AX166" s="7"/>
      <c r="AY166" s="7"/>
      <c r="AZ166" s="7"/>
      <c r="BA166" s="7"/>
      <c r="BB166" s="8"/>
      <c r="BC166" s="7"/>
      <c r="BD166" s="86"/>
    </row>
    <row r="167" spans="1:56" s="1" customFormat="1" x14ac:dyDescent="0.25">
      <c r="A167" s="6"/>
      <c r="B167" s="6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156"/>
      <c r="AS167" s="156"/>
      <c r="AT167" s="7"/>
      <c r="AU167" s="7"/>
      <c r="AV167" s="157"/>
      <c r="AW167" s="7"/>
      <c r="AX167" s="7"/>
      <c r="AY167" s="7"/>
      <c r="AZ167" s="7"/>
      <c r="BA167" s="7"/>
      <c r="BB167" s="8"/>
      <c r="BC167" s="7"/>
      <c r="BD167" s="86"/>
    </row>
    <row r="168" spans="1:56" s="1" customFormat="1" x14ac:dyDescent="0.25">
      <c r="A168" s="6"/>
      <c r="B168" s="6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156"/>
      <c r="AS168" s="156"/>
      <c r="AT168" s="7"/>
      <c r="AU168" s="7"/>
      <c r="AV168" s="157"/>
      <c r="AW168" s="7"/>
      <c r="AX168" s="7"/>
      <c r="AY168" s="7"/>
      <c r="AZ168" s="7"/>
      <c r="BA168" s="7"/>
      <c r="BB168" s="8"/>
      <c r="BC168" s="7"/>
      <c r="BD168" s="86"/>
    </row>
    <row r="169" spans="1:56" s="1" customFormat="1" x14ac:dyDescent="0.25">
      <c r="A169" s="6"/>
      <c r="B169" s="6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8"/>
      <c r="BC169" s="7"/>
      <c r="BD169" s="86"/>
    </row>
    <row r="170" spans="1:56" s="1" customFormat="1" x14ac:dyDescent="0.25">
      <c r="A170" s="6"/>
      <c r="B170" s="6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8"/>
      <c r="BC170" s="7"/>
      <c r="BD170" s="86"/>
    </row>
    <row r="171" spans="1:56" s="1" customFormat="1" x14ac:dyDescent="0.25">
      <c r="A171" s="6"/>
      <c r="B171" s="6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8"/>
      <c r="BC171" s="7"/>
      <c r="BD171" s="86"/>
    </row>
    <row r="172" spans="1:56" s="1" customFormat="1" x14ac:dyDescent="0.25">
      <c r="A172" s="6"/>
      <c r="B172" s="6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8"/>
      <c r="BC172" s="7"/>
      <c r="BD172" s="86"/>
    </row>
    <row r="173" spans="1:56" s="1" customFormat="1" x14ac:dyDescent="0.25">
      <c r="A173" s="6"/>
      <c r="B173" s="6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8"/>
      <c r="BC173" s="7"/>
      <c r="BD173" s="86"/>
    </row>
    <row r="174" spans="1:56" s="1" customFormat="1" x14ac:dyDescent="0.25">
      <c r="A174" s="6"/>
      <c r="B174" s="6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8"/>
      <c r="BC174" s="7"/>
      <c r="BD174" s="86"/>
    </row>
    <row r="177" spans="1:56" x14ac:dyDescent="0.25">
      <c r="A177" s="7"/>
      <c r="B177" s="7"/>
      <c r="BB177" s="7"/>
    </row>
    <row r="178" spans="1:56" x14ac:dyDescent="0.25">
      <c r="A178" s="7"/>
      <c r="B178" s="7"/>
      <c r="BB178" s="7"/>
    </row>
    <row r="179" spans="1:56" x14ac:dyDescent="0.25">
      <c r="A179" s="7"/>
      <c r="B179" s="7"/>
      <c r="BB179" s="7"/>
    </row>
    <row r="180" spans="1:56" x14ac:dyDescent="0.25">
      <c r="A180" s="7"/>
      <c r="B180" s="7"/>
      <c r="BB180" s="7"/>
    </row>
    <row r="181" spans="1:56" x14ac:dyDescent="0.25">
      <c r="A181" s="7"/>
      <c r="B181" s="7"/>
      <c r="BB181" s="7"/>
    </row>
    <row r="182" spans="1:56" x14ac:dyDescent="0.25">
      <c r="A182" s="7"/>
      <c r="B182" s="7"/>
      <c r="BB182" s="7"/>
    </row>
    <row r="183" spans="1:56" x14ac:dyDescent="0.25">
      <c r="A183" s="7"/>
      <c r="B183" s="7"/>
      <c r="BB183" s="7"/>
    </row>
    <row r="184" spans="1:56" x14ac:dyDescent="0.25">
      <c r="A184" s="7"/>
      <c r="B184" s="7"/>
      <c r="BB184" s="7"/>
    </row>
    <row r="185" spans="1:56" ht="15.75" customHeight="1" x14ac:dyDescent="0.25">
      <c r="A185" s="7"/>
      <c r="B185" s="7"/>
      <c r="BB185" s="7"/>
    </row>
    <row r="186" spans="1:56" ht="15.75" customHeight="1" x14ac:dyDescent="0.25">
      <c r="A186" s="7"/>
      <c r="B186" s="7"/>
      <c r="BB186" s="7"/>
    </row>
    <row r="187" spans="1:56" x14ac:dyDescent="0.25">
      <c r="A187" s="7"/>
      <c r="B187" s="7"/>
      <c r="BB187" s="7"/>
    </row>
    <row r="188" spans="1:56" x14ac:dyDescent="0.25">
      <c r="A188" s="7"/>
      <c r="B188" s="7"/>
      <c r="BB188" s="7"/>
    </row>
    <row r="189" spans="1:56" x14ac:dyDescent="0.25">
      <c r="A189" s="7"/>
      <c r="B189" s="7"/>
      <c r="BB189" s="7"/>
    </row>
    <row r="190" spans="1:56" x14ac:dyDescent="0.25">
      <c r="A190" s="7"/>
      <c r="B190" s="7"/>
      <c r="BB190" s="7"/>
      <c r="BD190" s="7"/>
    </row>
    <row r="191" spans="1:56" x14ac:dyDescent="0.25">
      <c r="A191" s="7"/>
      <c r="B191" s="7"/>
      <c r="BB191" s="7"/>
      <c r="BD191" s="7"/>
    </row>
    <row r="192" spans="1:56" x14ac:dyDescent="0.25">
      <c r="A192" s="7"/>
      <c r="B192" s="7"/>
      <c r="BB192" s="7"/>
      <c r="BD192" s="7"/>
    </row>
    <row r="193" spans="1:56" x14ac:dyDescent="0.25">
      <c r="A193" s="7"/>
      <c r="B193" s="7"/>
      <c r="BB193" s="7"/>
      <c r="BD193" s="7"/>
    </row>
    <row r="194" spans="1:56" x14ac:dyDescent="0.25">
      <c r="BD194" s="7"/>
    </row>
    <row r="195" spans="1:56" x14ac:dyDescent="0.25">
      <c r="BD195" s="7"/>
    </row>
    <row r="196" spans="1:56" x14ac:dyDescent="0.25">
      <c r="BD196" s="7"/>
    </row>
    <row r="197" spans="1:56" x14ac:dyDescent="0.25">
      <c r="BD197" s="7"/>
    </row>
    <row r="198" spans="1:56" x14ac:dyDescent="0.25">
      <c r="BD198" s="7"/>
    </row>
    <row r="199" spans="1:56" x14ac:dyDescent="0.25">
      <c r="BD199" s="7"/>
    </row>
    <row r="200" spans="1:56" ht="15.75" customHeight="1" x14ac:dyDescent="0.25">
      <c r="BD200" s="7"/>
    </row>
    <row r="201" spans="1:56" ht="15.75" customHeight="1" x14ac:dyDescent="0.25">
      <c r="A201" s="7"/>
      <c r="B201" s="7"/>
      <c r="BB201" s="7"/>
      <c r="BD201" s="7"/>
    </row>
    <row r="202" spans="1:56" x14ac:dyDescent="0.25">
      <c r="A202" s="7"/>
      <c r="B202" s="7"/>
      <c r="BB202" s="7"/>
      <c r="BD202" s="7"/>
    </row>
    <row r="203" spans="1:56" x14ac:dyDescent="0.25">
      <c r="A203" s="7"/>
      <c r="B203" s="7"/>
      <c r="BB203" s="7"/>
      <c r="BD203" s="7"/>
    </row>
    <row r="204" spans="1:56" x14ac:dyDescent="0.25">
      <c r="A204" s="7"/>
      <c r="B204" s="7"/>
      <c r="BB204" s="7"/>
      <c r="BD204" s="7"/>
    </row>
    <row r="205" spans="1:56" x14ac:dyDescent="0.25">
      <c r="A205" s="7"/>
      <c r="B205" s="7"/>
      <c r="BB205" s="7"/>
      <c r="BD205" s="7"/>
    </row>
    <row r="206" spans="1:56" x14ac:dyDescent="0.25">
      <c r="A206" s="7"/>
      <c r="B206" s="7"/>
      <c r="BB206" s="7"/>
      <c r="BD206" s="7"/>
    </row>
    <row r="207" spans="1:56" x14ac:dyDescent="0.25">
      <c r="A207" s="7"/>
      <c r="B207" s="7"/>
      <c r="BB207" s="7"/>
    </row>
    <row r="208" spans="1:56" x14ac:dyDescent="0.25">
      <c r="A208" s="7"/>
      <c r="B208" s="7"/>
      <c r="BB208" s="7"/>
    </row>
    <row r="209" spans="1:56" x14ac:dyDescent="0.25">
      <c r="A209" s="7"/>
      <c r="B209" s="7"/>
      <c r="BB209" s="7"/>
    </row>
    <row r="210" spans="1:56" x14ac:dyDescent="0.25">
      <c r="A210" s="7"/>
      <c r="B210" s="7"/>
      <c r="BB210" s="7"/>
    </row>
    <row r="211" spans="1:56" x14ac:dyDescent="0.25">
      <c r="A211" s="7"/>
      <c r="B211" s="7"/>
      <c r="BB211" s="7"/>
    </row>
    <row r="212" spans="1:56" x14ac:dyDescent="0.25">
      <c r="A212" s="7"/>
      <c r="B212" s="7"/>
      <c r="BB212" s="7"/>
    </row>
    <row r="213" spans="1:56" x14ac:dyDescent="0.25">
      <c r="A213" s="7"/>
      <c r="B213" s="7"/>
      <c r="BB213" s="7"/>
    </row>
    <row r="214" spans="1:56" x14ac:dyDescent="0.25">
      <c r="A214" s="7"/>
      <c r="B214" s="7"/>
      <c r="BB214" s="7"/>
    </row>
    <row r="215" spans="1:56" x14ac:dyDescent="0.25">
      <c r="A215" s="7"/>
      <c r="B215" s="7"/>
      <c r="BB215" s="7"/>
    </row>
    <row r="216" spans="1:56" x14ac:dyDescent="0.25">
      <c r="A216" s="7"/>
      <c r="B216" s="7"/>
      <c r="BB216" s="7"/>
    </row>
    <row r="217" spans="1:56" x14ac:dyDescent="0.25">
      <c r="A217" s="7"/>
      <c r="B217" s="7"/>
      <c r="BB217" s="7"/>
      <c r="BD217" s="7"/>
    </row>
    <row r="218" spans="1:56" x14ac:dyDescent="0.25">
      <c r="A218" s="7"/>
      <c r="B218" s="7"/>
      <c r="BB218" s="7"/>
      <c r="BD218" s="7"/>
    </row>
    <row r="219" spans="1:56" x14ac:dyDescent="0.25">
      <c r="A219" s="7"/>
      <c r="B219" s="7"/>
      <c r="BB219" s="7"/>
      <c r="BD219" s="7"/>
    </row>
    <row r="220" spans="1:56" x14ac:dyDescent="0.25">
      <c r="A220" s="7"/>
      <c r="B220" s="7"/>
      <c r="BB220" s="7"/>
      <c r="BD220" s="7"/>
    </row>
    <row r="221" spans="1:56" x14ac:dyDescent="0.25">
      <c r="A221" s="7"/>
      <c r="B221" s="7"/>
      <c r="BB221" s="7"/>
      <c r="BD221" s="7"/>
    </row>
    <row r="222" spans="1:56" x14ac:dyDescent="0.25">
      <c r="A222" s="7"/>
      <c r="B222" s="7"/>
      <c r="BB222" s="7"/>
      <c r="BD222" s="7"/>
    </row>
    <row r="223" spans="1:56" x14ac:dyDescent="0.25">
      <c r="A223" s="7"/>
      <c r="B223" s="7"/>
      <c r="BB223" s="7"/>
      <c r="BD223" s="7"/>
    </row>
    <row r="224" spans="1:56" x14ac:dyDescent="0.25">
      <c r="A224" s="7"/>
      <c r="B224" s="7"/>
      <c r="BB224" s="7"/>
      <c r="BD224" s="7"/>
    </row>
    <row r="225" spans="1:56" x14ac:dyDescent="0.25">
      <c r="A225" s="7"/>
      <c r="B225" s="7"/>
      <c r="BB225" s="7"/>
      <c r="BD225" s="7"/>
    </row>
    <row r="226" spans="1:56" x14ac:dyDescent="0.25">
      <c r="A226" s="7"/>
      <c r="B226" s="7"/>
      <c r="BB226" s="7"/>
      <c r="BD226" s="7"/>
    </row>
    <row r="227" spans="1:56" x14ac:dyDescent="0.25">
      <c r="A227" s="7"/>
      <c r="B227" s="7"/>
      <c r="BB227" s="7"/>
      <c r="BD227" s="7"/>
    </row>
    <row r="228" spans="1:56" x14ac:dyDescent="0.25">
      <c r="A228" s="7"/>
      <c r="B228" s="7"/>
      <c r="BB228" s="7"/>
      <c r="BD228" s="7"/>
    </row>
    <row r="229" spans="1:56" x14ac:dyDescent="0.25">
      <c r="A229" s="7"/>
      <c r="B229" s="7"/>
      <c r="BB229" s="7"/>
      <c r="BD229" s="7"/>
    </row>
    <row r="230" spans="1:56" x14ac:dyDescent="0.25">
      <c r="A230" s="7"/>
      <c r="B230" s="7"/>
      <c r="BB230" s="7"/>
      <c r="BD230" s="7"/>
    </row>
    <row r="231" spans="1:56" x14ac:dyDescent="0.25">
      <c r="A231" s="7"/>
      <c r="B231" s="7"/>
      <c r="BB231" s="7"/>
      <c r="BD231" s="7"/>
    </row>
    <row r="232" spans="1:56" x14ac:dyDescent="0.25">
      <c r="A232" s="7"/>
      <c r="B232" s="7"/>
      <c r="BB232" s="7"/>
      <c r="BD232" s="7"/>
    </row>
    <row r="233" spans="1:56" x14ac:dyDescent="0.25">
      <c r="A233" s="7"/>
      <c r="B233" s="7"/>
      <c r="BB233" s="7"/>
      <c r="BD233" s="7"/>
    </row>
    <row r="234" spans="1:56" x14ac:dyDescent="0.25">
      <c r="A234" s="7"/>
      <c r="B234" s="7"/>
      <c r="BB234" s="7"/>
      <c r="BD234" s="7"/>
    </row>
    <row r="235" spans="1:56" x14ac:dyDescent="0.25">
      <c r="A235" s="7"/>
      <c r="B235" s="7"/>
      <c r="BB235" s="7"/>
      <c r="BD235" s="7"/>
    </row>
    <row r="236" spans="1:56" x14ac:dyDescent="0.25">
      <c r="A236" s="7"/>
      <c r="B236" s="7"/>
      <c r="BB236" s="7"/>
      <c r="BD236" s="7"/>
    </row>
    <row r="237" spans="1:56" x14ac:dyDescent="0.25">
      <c r="A237" s="7"/>
      <c r="B237" s="7"/>
      <c r="BB237" s="7"/>
      <c r="BD237" s="7"/>
    </row>
    <row r="238" spans="1:56" x14ac:dyDescent="0.25">
      <c r="A238" s="7"/>
      <c r="B238" s="7"/>
      <c r="BB238" s="7"/>
      <c r="BD238" s="7"/>
    </row>
    <row r="239" spans="1:56" x14ac:dyDescent="0.25">
      <c r="A239" s="7"/>
      <c r="B239" s="7"/>
      <c r="BB239" s="7"/>
      <c r="BD239" s="7"/>
    </row>
    <row r="240" spans="1:56" x14ac:dyDescent="0.25">
      <c r="A240" s="7"/>
      <c r="B240" s="7"/>
      <c r="BB240" s="7"/>
      <c r="BD240" s="7"/>
    </row>
    <row r="241" spans="1:56" x14ac:dyDescent="0.25">
      <c r="A241" s="7"/>
      <c r="B241" s="7"/>
      <c r="BB241" s="7"/>
      <c r="BD241" s="7"/>
    </row>
    <row r="242" spans="1:56" x14ac:dyDescent="0.25">
      <c r="A242" s="7"/>
      <c r="B242" s="7"/>
      <c r="BB242" s="7"/>
      <c r="BD242" s="7"/>
    </row>
    <row r="243" spans="1:56" x14ac:dyDescent="0.25">
      <c r="A243" s="7"/>
      <c r="B243" s="7"/>
      <c r="BB243" s="7"/>
      <c r="BD243" s="7"/>
    </row>
    <row r="246" spans="1:56" x14ac:dyDescent="0.25">
      <c r="A246" s="7"/>
      <c r="B246" s="7"/>
      <c r="BB246" s="7"/>
      <c r="BD246" s="7"/>
    </row>
    <row r="247" spans="1:56" x14ac:dyDescent="0.25">
      <c r="A247" s="7"/>
      <c r="B247" s="7"/>
      <c r="BB247" s="7"/>
      <c r="BD247" s="7"/>
    </row>
    <row r="248" spans="1:56" x14ac:dyDescent="0.25">
      <c r="A248" s="7"/>
      <c r="B248" s="7"/>
      <c r="BB248" s="7"/>
      <c r="BD248" s="7"/>
    </row>
    <row r="249" spans="1:56" x14ac:dyDescent="0.25">
      <c r="A249" s="7"/>
      <c r="B249" s="7"/>
      <c r="BB249" s="7"/>
      <c r="BD249" s="7"/>
    </row>
    <row r="250" spans="1:56" x14ac:dyDescent="0.25">
      <c r="A250" s="7"/>
      <c r="B250" s="7"/>
      <c r="BB250" s="7"/>
      <c r="BD250" s="7"/>
    </row>
    <row r="251" spans="1:56" x14ac:dyDescent="0.25">
      <c r="A251" s="7"/>
      <c r="B251" s="7"/>
      <c r="BB251" s="7"/>
      <c r="BD251" s="7"/>
    </row>
    <row r="252" spans="1:56" x14ac:dyDescent="0.25">
      <c r="A252" s="7"/>
      <c r="B252" s="7"/>
      <c r="BB252" s="7"/>
      <c r="BD252" s="7"/>
    </row>
    <row r="253" spans="1:56" x14ac:dyDescent="0.25">
      <c r="A253" s="7"/>
      <c r="B253" s="7"/>
      <c r="BB253" s="7"/>
      <c r="BD253" s="7"/>
    </row>
    <row r="254" spans="1:56" x14ac:dyDescent="0.25">
      <c r="A254" s="7"/>
      <c r="B254" s="7"/>
      <c r="BB254" s="7"/>
      <c r="BD254" s="7"/>
    </row>
    <row r="255" spans="1:56" x14ac:dyDescent="0.25">
      <c r="A255" s="7"/>
      <c r="B255" s="7"/>
      <c r="BB255" s="7"/>
      <c r="BD255" s="7"/>
    </row>
    <row r="256" spans="1:56" x14ac:dyDescent="0.25">
      <c r="A256" s="7"/>
      <c r="B256" s="7"/>
      <c r="BB256" s="7"/>
      <c r="BD256" s="7"/>
    </row>
    <row r="257" spans="1:56" x14ac:dyDescent="0.25">
      <c r="A257" s="7"/>
      <c r="B257" s="7"/>
      <c r="BB257" s="7"/>
      <c r="BD257" s="7"/>
    </row>
    <row r="258" spans="1:56" x14ac:dyDescent="0.25">
      <c r="A258" s="7"/>
      <c r="B258" s="7"/>
      <c r="BB258" s="7"/>
      <c r="BD258" s="7"/>
    </row>
    <row r="259" spans="1:56" x14ac:dyDescent="0.25">
      <c r="A259" s="7"/>
      <c r="B259" s="7"/>
      <c r="BB259" s="7"/>
      <c r="BD259" s="7"/>
    </row>
    <row r="260" spans="1:56" x14ac:dyDescent="0.25">
      <c r="A260" s="7"/>
      <c r="B260" s="7"/>
      <c r="BB260" s="7"/>
      <c r="BD260" s="7"/>
    </row>
    <row r="261" spans="1:56" x14ac:dyDescent="0.25">
      <c r="A261" s="7"/>
      <c r="B261" s="7"/>
      <c r="BB261" s="7"/>
      <c r="BD261" s="7"/>
    </row>
    <row r="262" spans="1:56" x14ac:dyDescent="0.25">
      <c r="A262" s="7"/>
      <c r="B262" s="7"/>
      <c r="BB262" s="7"/>
      <c r="BD262" s="7"/>
    </row>
    <row r="263" spans="1:56" x14ac:dyDescent="0.25">
      <c r="A263" s="7"/>
      <c r="B263" s="7"/>
      <c r="BB263" s="7"/>
      <c r="BD263" s="7"/>
    </row>
    <row r="264" spans="1:56" x14ac:dyDescent="0.25">
      <c r="A264" s="7"/>
      <c r="B264" s="7"/>
      <c r="BB264" s="7"/>
      <c r="BD264" s="7"/>
    </row>
    <row r="265" spans="1:56" x14ac:dyDescent="0.25">
      <c r="A265" s="7"/>
      <c r="B265" s="7"/>
      <c r="BB265" s="7"/>
      <c r="BD265" s="7"/>
    </row>
    <row r="266" spans="1:56" x14ac:dyDescent="0.25">
      <c r="A266" s="7"/>
      <c r="B266" s="7"/>
      <c r="BB266" s="7"/>
      <c r="BD266" s="7"/>
    </row>
    <row r="267" spans="1:56" x14ac:dyDescent="0.25">
      <c r="A267" s="7"/>
      <c r="B267" s="7"/>
      <c r="BB267" s="7"/>
      <c r="BD267" s="7"/>
    </row>
    <row r="268" spans="1:56" x14ac:dyDescent="0.25">
      <c r="A268" s="7"/>
      <c r="B268" s="7"/>
      <c r="BB268" s="7"/>
      <c r="BD268" s="7"/>
    </row>
    <row r="269" spans="1:56" x14ac:dyDescent="0.25">
      <c r="A269" s="7"/>
      <c r="B269" s="7"/>
      <c r="BB269" s="7"/>
      <c r="BD269" s="7"/>
    </row>
    <row r="270" spans="1:56" x14ac:dyDescent="0.25">
      <c r="A270" s="7"/>
      <c r="B270" s="7"/>
      <c r="BB270" s="7"/>
      <c r="BD270" s="7"/>
    </row>
    <row r="271" spans="1:56" x14ac:dyDescent="0.25">
      <c r="A271" s="7"/>
      <c r="B271" s="7"/>
      <c r="BB271" s="7"/>
      <c r="BD271" s="7"/>
    </row>
    <row r="272" spans="1:56" x14ac:dyDescent="0.25">
      <c r="A272" s="7"/>
      <c r="B272" s="7"/>
      <c r="BB272" s="7"/>
      <c r="BD272" s="7"/>
    </row>
    <row r="273" spans="1:56" x14ac:dyDescent="0.25">
      <c r="A273" s="7"/>
      <c r="B273" s="7"/>
      <c r="BB273" s="7"/>
      <c r="BD273" s="7"/>
    </row>
    <row r="274" spans="1:56" x14ac:dyDescent="0.25">
      <c r="A274" s="7"/>
      <c r="B274" s="7"/>
      <c r="BB274" s="7"/>
      <c r="BD274" s="7"/>
    </row>
    <row r="275" spans="1:56" x14ac:dyDescent="0.25">
      <c r="A275" s="7"/>
      <c r="B275" s="7"/>
      <c r="BB275" s="7"/>
      <c r="BD275" s="7"/>
    </row>
  </sheetData>
  <mergeCells count="46">
    <mergeCell ref="A138:A139"/>
    <mergeCell ref="B138:B139"/>
    <mergeCell ref="A140:A141"/>
    <mergeCell ref="B140:B141"/>
    <mergeCell ref="A153:A154"/>
    <mergeCell ref="B153:B154"/>
    <mergeCell ref="A124:A125"/>
    <mergeCell ref="B124:B125"/>
    <mergeCell ref="A127:A129"/>
    <mergeCell ref="B127:B129"/>
    <mergeCell ref="A131:A135"/>
    <mergeCell ref="B131:B134"/>
    <mergeCell ref="A89:A101"/>
    <mergeCell ref="B89:B101"/>
    <mergeCell ref="A102:A112"/>
    <mergeCell ref="B102:B112"/>
    <mergeCell ref="A114:A122"/>
    <mergeCell ref="B114:B122"/>
    <mergeCell ref="A56:A64"/>
    <mergeCell ref="B56:B64"/>
    <mergeCell ref="A65:A76"/>
    <mergeCell ref="B65:B76"/>
    <mergeCell ref="A77:A88"/>
    <mergeCell ref="B77:B88"/>
    <mergeCell ref="A41:A42"/>
    <mergeCell ref="B41:B42"/>
    <mergeCell ref="A43:A48"/>
    <mergeCell ref="B43:B48"/>
    <mergeCell ref="A49:A55"/>
    <mergeCell ref="B49:B55"/>
    <mergeCell ref="A5:A28"/>
    <mergeCell ref="B5:B28"/>
    <mergeCell ref="A29:A36"/>
    <mergeCell ref="B29:B36"/>
    <mergeCell ref="A38:A40"/>
    <mergeCell ref="B38:B40"/>
    <mergeCell ref="A1:BC1"/>
    <mergeCell ref="A2:A3"/>
    <mergeCell ref="B2:B3"/>
    <mergeCell ref="C2:C3"/>
    <mergeCell ref="D2:AN2"/>
    <mergeCell ref="AO2:AQ2"/>
    <mergeCell ref="AR2:AT2"/>
    <mergeCell ref="AU2:AZ2"/>
    <mergeCell ref="BA2:BB2"/>
    <mergeCell ref="BC2:BC3"/>
  </mergeCells>
  <pageMargins left="0.25" right="0.25" top="0.75" bottom="0.75" header="0.3" footer="0.3"/>
  <pageSetup paperSize="8" scale="20" fitToWidth="2" orientation="portrait" r:id="rId1"/>
  <colBreaks count="1" manualBreakCount="1">
    <brk id="3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C237"/>
  <sheetViews>
    <sheetView workbookViewId="0">
      <pane xSplit="3" ySplit="4" topLeftCell="D147" activePane="bottomRight" state="frozen"/>
      <selection pane="topRight" activeCell="D1" sqref="D1"/>
      <selection pane="bottomLeft" activeCell="A5" sqref="A5"/>
      <selection pane="bottomRight" activeCell="A160" sqref="A160:XFD198"/>
    </sheetView>
  </sheetViews>
  <sheetFormatPr defaultRowHeight="15.75" x14ac:dyDescent="0.25"/>
  <cols>
    <col min="1" max="1" width="4.7109375" style="6" customWidth="1"/>
    <col min="2" max="2" width="12.42578125" style="6" customWidth="1"/>
    <col min="3" max="3" width="66.5703125" style="7" customWidth="1"/>
    <col min="4" max="4" width="12.42578125" style="7" bestFit="1" customWidth="1"/>
    <col min="5" max="5" width="17.85546875" style="7" customWidth="1"/>
    <col min="6" max="6" width="11" style="7" bestFit="1" customWidth="1"/>
    <col min="7" max="11" width="19.42578125" style="7" customWidth="1"/>
    <col min="12" max="12" width="15.5703125" style="7" customWidth="1"/>
    <col min="13" max="13" width="16.42578125" style="7" customWidth="1"/>
    <col min="14" max="14" width="15.85546875" style="7" customWidth="1"/>
    <col min="15" max="15" width="17.140625" style="7" customWidth="1"/>
    <col min="16" max="16" width="16.28515625" style="7" customWidth="1"/>
    <col min="17" max="17" width="17.140625" style="7" customWidth="1"/>
    <col min="18" max="18" width="16.42578125" style="7" customWidth="1"/>
    <col min="19" max="23" width="17.5703125" style="7" customWidth="1"/>
    <col min="24" max="24" width="14" style="7" customWidth="1"/>
    <col min="25" max="25" width="15.7109375" style="7" customWidth="1"/>
    <col min="26" max="26" width="15.28515625" style="7" customWidth="1"/>
    <col min="27" max="37" width="19.42578125" style="7" customWidth="1"/>
    <col min="38" max="38" width="18.7109375" style="7" bestFit="1" customWidth="1"/>
    <col min="39" max="40" width="17.42578125" style="7" customWidth="1"/>
    <col min="41" max="41" width="15.28515625" style="7" bestFit="1" customWidth="1"/>
    <col min="42" max="42" width="14.85546875" style="7" bestFit="1" customWidth="1"/>
    <col min="43" max="43" width="17" style="7" bestFit="1" customWidth="1"/>
    <col min="44" max="44" width="15.28515625" style="7" bestFit="1" customWidth="1"/>
    <col min="45" max="45" width="18.28515625" style="7" customWidth="1"/>
    <col min="46" max="46" width="17.140625" style="7" bestFit="1" customWidth="1"/>
    <col min="47" max="47" width="12.28515625" style="7" customWidth="1"/>
    <col min="48" max="48" width="11" style="7" bestFit="1" customWidth="1"/>
    <col min="49" max="49" width="16.5703125" style="7" customWidth="1"/>
    <col min="50" max="50" width="11" style="7" bestFit="1" customWidth="1"/>
    <col min="51" max="51" width="7.28515625" style="7" bestFit="1" customWidth="1"/>
    <col min="52" max="52" width="19.85546875" style="7" bestFit="1" customWidth="1"/>
    <col min="53" max="53" width="22" style="7" customWidth="1"/>
    <col min="54" max="54" width="16.7109375" style="8" customWidth="1"/>
    <col min="55" max="55" width="18" style="7" customWidth="1"/>
    <col min="56" max="56" width="12.42578125" style="7" bestFit="1" customWidth="1"/>
    <col min="57" max="16384" width="9.140625" style="7"/>
  </cols>
  <sheetData>
    <row r="1" spans="1:55" s="1" customFormat="1" ht="21" thickBot="1" x14ac:dyDescent="0.35">
      <c r="A1" s="295" t="s">
        <v>195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  <c r="AT1" s="295"/>
      <c r="AU1" s="295"/>
      <c r="AV1" s="295"/>
      <c r="AW1" s="295"/>
      <c r="AX1" s="295"/>
      <c r="AY1" s="295"/>
      <c r="AZ1" s="295"/>
      <c r="BA1" s="295"/>
      <c r="BB1" s="295"/>
      <c r="BC1" s="295"/>
    </row>
    <row r="2" spans="1:55" s="1" customFormat="1" ht="16.5" thickBot="1" x14ac:dyDescent="0.3">
      <c r="A2" s="268" t="s">
        <v>28</v>
      </c>
      <c r="B2" s="268" t="s">
        <v>113</v>
      </c>
      <c r="C2" s="282" t="s">
        <v>27</v>
      </c>
      <c r="D2" s="296" t="s">
        <v>0</v>
      </c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8" t="s">
        <v>1</v>
      </c>
      <c r="AP2" s="296"/>
      <c r="AQ2" s="297"/>
      <c r="AR2" s="296" t="s">
        <v>2</v>
      </c>
      <c r="AS2" s="296"/>
      <c r="AT2" s="296"/>
      <c r="AU2" s="298" t="s">
        <v>3</v>
      </c>
      <c r="AV2" s="296"/>
      <c r="AW2" s="296"/>
      <c r="AX2" s="296"/>
      <c r="AY2" s="296"/>
      <c r="AZ2" s="297"/>
      <c r="BA2" s="296" t="s">
        <v>4</v>
      </c>
      <c r="BB2" s="296"/>
      <c r="BC2" s="299" t="s">
        <v>5</v>
      </c>
    </row>
    <row r="3" spans="1:55" s="3" customFormat="1" ht="64.5" thickBot="1" x14ac:dyDescent="0.25">
      <c r="A3" s="269"/>
      <c r="B3" s="269"/>
      <c r="C3" s="284"/>
      <c r="D3" s="13" t="s">
        <v>6</v>
      </c>
      <c r="E3" s="12" t="s">
        <v>89</v>
      </c>
      <c r="F3" s="12" t="s">
        <v>126</v>
      </c>
      <c r="G3" s="12" t="s">
        <v>90</v>
      </c>
      <c r="H3" s="13" t="s">
        <v>150</v>
      </c>
      <c r="I3" s="12" t="s">
        <v>149</v>
      </c>
      <c r="J3" s="12" t="s">
        <v>151</v>
      </c>
      <c r="K3" s="12" t="s">
        <v>149</v>
      </c>
      <c r="L3" s="13" t="s">
        <v>114</v>
      </c>
      <c r="M3" s="13" t="s">
        <v>115</v>
      </c>
      <c r="N3" s="13" t="s">
        <v>130</v>
      </c>
      <c r="O3" s="13" t="s">
        <v>131</v>
      </c>
      <c r="P3" s="13" t="s">
        <v>132</v>
      </c>
      <c r="Q3" s="13" t="s">
        <v>133</v>
      </c>
      <c r="R3" s="13" t="s">
        <v>134</v>
      </c>
      <c r="S3" s="13" t="s">
        <v>135</v>
      </c>
      <c r="T3" s="13" t="s">
        <v>165</v>
      </c>
      <c r="U3" s="13" t="s">
        <v>166</v>
      </c>
      <c r="V3" s="13" t="s">
        <v>167</v>
      </c>
      <c r="W3" s="13" t="s">
        <v>168</v>
      </c>
      <c r="X3" s="13" t="s">
        <v>84</v>
      </c>
      <c r="Y3" s="12" t="s">
        <v>85</v>
      </c>
      <c r="Z3" s="12" t="s">
        <v>97</v>
      </c>
      <c r="AA3" s="109" t="s">
        <v>80</v>
      </c>
      <c r="AB3" s="109" t="s">
        <v>66</v>
      </c>
      <c r="AC3" s="109" t="s">
        <v>58</v>
      </c>
      <c r="AD3" s="109" t="s">
        <v>103</v>
      </c>
      <c r="AE3" s="109" t="s">
        <v>106</v>
      </c>
      <c r="AF3" s="109" t="s">
        <v>128</v>
      </c>
      <c r="AG3" s="109" t="s">
        <v>129</v>
      </c>
      <c r="AH3" s="109" t="s">
        <v>67</v>
      </c>
      <c r="AI3" s="109" t="s">
        <v>68</v>
      </c>
      <c r="AJ3" s="109" t="s">
        <v>69</v>
      </c>
      <c r="AK3" s="109" t="s">
        <v>70</v>
      </c>
      <c r="AL3" s="109" t="s">
        <v>59</v>
      </c>
      <c r="AM3" s="109" t="s">
        <v>29</v>
      </c>
      <c r="AN3" s="110" t="s">
        <v>7</v>
      </c>
      <c r="AO3" s="111" t="s">
        <v>8</v>
      </c>
      <c r="AP3" s="109" t="s">
        <v>59</v>
      </c>
      <c r="AQ3" s="112" t="s">
        <v>7</v>
      </c>
      <c r="AR3" s="113" t="s">
        <v>8</v>
      </c>
      <c r="AS3" s="109" t="s">
        <v>59</v>
      </c>
      <c r="AT3" s="110" t="s">
        <v>7</v>
      </c>
      <c r="AU3" s="111" t="s">
        <v>6</v>
      </c>
      <c r="AV3" s="109" t="s">
        <v>25</v>
      </c>
      <c r="AW3" s="114" t="s">
        <v>7</v>
      </c>
      <c r="AX3" s="109" t="s">
        <v>76</v>
      </c>
      <c r="AY3" s="109" t="s">
        <v>25</v>
      </c>
      <c r="AZ3" s="112" t="s">
        <v>7</v>
      </c>
      <c r="BA3" s="113" t="s">
        <v>30</v>
      </c>
      <c r="BB3" s="110" t="s">
        <v>7</v>
      </c>
      <c r="BC3" s="300"/>
    </row>
    <row r="4" spans="1:55" s="1" customFormat="1" ht="16.5" thickBot="1" x14ac:dyDescent="0.3">
      <c r="A4" s="250" t="s">
        <v>33</v>
      </c>
      <c r="B4" s="252" t="s">
        <v>34</v>
      </c>
      <c r="C4" s="250" t="s">
        <v>35</v>
      </c>
      <c r="D4" s="250" t="s">
        <v>36</v>
      </c>
      <c r="E4" s="250" t="s">
        <v>37</v>
      </c>
      <c r="F4" s="250" t="s">
        <v>38</v>
      </c>
      <c r="G4" s="250" t="s">
        <v>39</v>
      </c>
      <c r="H4" s="250" t="s">
        <v>40</v>
      </c>
      <c r="I4" s="250" t="s">
        <v>41</v>
      </c>
      <c r="J4" s="250" t="s">
        <v>42</v>
      </c>
      <c r="K4" s="250" t="s">
        <v>43</v>
      </c>
      <c r="L4" s="250" t="s">
        <v>44</v>
      </c>
      <c r="M4" s="250" t="s">
        <v>45</v>
      </c>
      <c r="N4" s="250" t="s">
        <v>46</v>
      </c>
      <c r="O4" s="250" t="s">
        <v>47</v>
      </c>
      <c r="P4" s="250" t="s">
        <v>48</v>
      </c>
      <c r="Q4" s="250" t="s">
        <v>49</v>
      </c>
      <c r="R4" s="250" t="s">
        <v>50</v>
      </c>
      <c r="S4" s="250" t="s">
        <v>51</v>
      </c>
      <c r="T4" s="250" t="s">
        <v>52</v>
      </c>
      <c r="U4" s="250" t="s">
        <v>53</v>
      </c>
      <c r="V4" s="250" t="s">
        <v>54</v>
      </c>
      <c r="W4" s="250" t="s">
        <v>55</v>
      </c>
      <c r="X4" s="250" t="s">
        <v>71</v>
      </c>
      <c r="Y4" s="250" t="s">
        <v>72</v>
      </c>
      <c r="Z4" s="250" t="s">
        <v>73</v>
      </c>
      <c r="AA4" s="250" t="s">
        <v>77</v>
      </c>
      <c r="AB4" s="250" t="s">
        <v>78</v>
      </c>
      <c r="AC4" s="250" t="s">
        <v>79</v>
      </c>
      <c r="AD4" s="250" t="s">
        <v>81</v>
      </c>
      <c r="AE4" s="250" t="s">
        <v>82</v>
      </c>
      <c r="AF4" s="250" t="s">
        <v>83</v>
      </c>
      <c r="AG4" s="250" t="s">
        <v>98</v>
      </c>
      <c r="AH4" s="250" t="s">
        <v>104</v>
      </c>
      <c r="AI4" s="250" t="s">
        <v>105</v>
      </c>
      <c r="AJ4" s="250" t="s">
        <v>109</v>
      </c>
      <c r="AK4" s="250" t="s">
        <v>110</v>
      </c>
      <c r="AL4" s="250" t="s">
        <v>116</v>
      </c>
      <c r="AM4" s="250" t="s">
        <v>136</v>
      </c>
      <c r="AN4" s="250" t="s">
        <v>137</v>
      </c>
      <c r="AO4" s="250" t="s">
        <v>138</v>
      </c>
      <c r="AP4" s="250" t="s">
        <v>139</v>
      </c>
      <c r="AQ4" s="252" t="s">
        <v>140</v>
      </c>
      <c r="AR4" s="249" t="s">
        <v>141</v>
      </c>
      <c r="AS4" s="250" t="s">
        <v>142</v>
      </c>
      <c r="AT4" s="250" t="s">
        <v>143</v>
      </c>
      <c r="AU4" s="254" t="s">
        <v>152</v>
      </c>
      <c r="AV4" s="254" t="s">
        <v>153</v>
      </c>
      <c r="AW4" s="254" t="s">
        <v>154</v>
      </c>
      <c r="AX4" s="254" t="s">
        <v>155</v>
      </c>
      <c r="AY4" s="254" t="s">
        <v>164</v>
      </c>
      <c r="AZ4" s="255" t="s">
        <v>169</v>
      </c>
      <c r="BA4" s="249" t="s">
        <v>170</v>
      </c>
      <c r="BB4" s="250" t="s">
        <v>171</v>
      </c>
      <c r="BC4" s="252" t="s">
        <v>175</v>
      </c>
    </row>
    <row r="5" spans="1:55" s="1" customFormat="1" x14ac:dyDescent="0.25">
      <c r="A5" s="282">
        <v>1</v>
      </c>
      <c r="B5" s="282">
        <v>790001</v>
      </c>
      <c r="C5" s="17" t="s">
        <v>9</v>
      </c>
      <c r="D5" s="73">
        <f>'среднегодовая на 2025 под факт'!D5+'инообластные на 2025 под факт'!D5</f>
        <v>109731</v>
      </c>
      <c r="E5" s="30">
        <f>'среднегодовая на 2025 под факт'!E5+'инообластные на 2025 под факт'!E5</f>
        <v>88489602</v>
      </c>
      <c r="F5" s="30">
        <f>'среднегодовая на 2025 под факт'!F5+'инообластные на 2025 под факт'!F5</f>
        <v>24685</v>
      </c>
      <c r="G5" s="30">
        <f>'среднегодовая на 2025 под факт'!G5+'инообластные на 2025 под факт'!G5</f>
        <v>54254351</v>
      </c>
      <c r="H5" s="30">
        <f>'среднегодовая на 2025 под факт'!H5+'инообластные на 2025 под факт'!H5</f>
        <v>37035</v>
      </c>
      <c r="I5" s="30">
        <f>'среднегодовая на 2025 под факт'!I5+'инообластные на 2025 под факт'!I5</f>
        <v>23576262</v>
      </c>
      <c r="J5" s="30">
        <f>'среднегодовая на 2025 под факт'!J5+'инообластные на 2025 под факт'!J5</f>
        <v>5703</v>
      </c>
      <c r="K5" s="30">
        <f>'среднегодовая на 2025 под факт'!K5+'инообластные на 2025 под факт'!K5</f>
        <v>16674772</v>
      </c>
      <c r="L5" s="30">
        <f>'среднегодовая на 2025 под факт'!L5+'инообластные на 2025 под факт'!L5</f>
        <v>2105</v>
      </c>
      <c r="M5" s="30">
        <f>'среднегодовая на 2025 под факт'!M5+'инообластные на 2025 под факт'!M5</f>
        <v>5059389</v>
      </c>
      <c r="N5" s="30">
        <f>'среднегодовая на 2025 под факт'!N5+'инообластные на 2025 под факт'!N5</f>
        <v>0</v>
      </c>
      <c r="O5" s="30">
        <f>'среднегодовая на 2025 под факт'!O5+'инообластные на 2025 под факт'!O5</f>
        <v>0</v>
      </c>
      <c r="P5" s="30">
        <f>'среднегодовая на 2025 под факт'!P5+'инообластные на 2025 под факт'!P5</f>
        <v>388</v>
      </c>
      <c r="Q5" s="30">
        <f>'среднегодовая на 2025 под факт'!Q5+'инообластные на 2025 под факт'!Q5</f>
        <v>881891</v>
      </c>
      <c r="R5" s="30">
        <f>'среднегодовая на 2025 под факт'!R5+'инообластные на 2025 под факт'!R5</f>
        <v>1014</v>
      </c>
      <c r="S5" s="30">
        <f>'среднегодовая на 2025 под факт'!S5+'инообластные на 2025 под факт'!S5</f>
        <v>5128859</v>
      </c>
      <c r="T5" s="30">
        <f>'среднегодовая на 2025 под факт'!T5+'инообластные на 2025 под факт'!T5</f>
        <v>0</v>
      </c>
      <c r="U5" s="30">
        <f>'среднегодовая на 2025 под факт'!U5+'инообластные на 2025 под факт'!U5</f>
        <v>0</v>
      </c>
      <c r="V5" s="30">
        <f>'среднегодовая на 2025 под факт'!V5+'инообластные на 2025 под факт'!V5</f>
        <v>0</v>
      </c>
      <c r="W5" s="30">
        <f>'среднегодовая на 2025 под факт'!W5+'инообластные на 2025 под факт'!W5</f>
        <v>0</v>
      </c>
      <c r="X5" s="30">
        <f>'среднегодовая на 2025 под факт'!X5+'инообластные на 2025 под факт'!X5</f>
        <v>1159</v>
      </c>
      <c r="Y5" s="30">
        <f>'среднегодовая на 2025 под факт'!Y5+'инообластные на 2025 под факт'!Y5</f>
        <v>751</v>
      </c>
      <c r="Z5" s="30">
        <f>'среднегодовая на 2025 под факт'!Z5+'инообластные на 2025 под факт'!Z5</f>
        <v>119</v>
      </c>
      <c r="AA5" s="30">
        <f>'среднегодовая на 2025 под факт'!AA5+'инообластные на 2025 под факт'!AA5</f>
        <v>4028674</v>
      </c>
      <c r="AB5" s="30">
        <f>'среднегодовая на 2025 под факт'!AB5+'инообластные на 2025 под факт'!AB5</f>
        <v>6296</v>
      </c>
      <c r="AC5" s="30">
        <f>'среднегодовая на 2025 под факт'!AC5+'инообластные на 2025 под факт'!AC5</f>
        <v>36315033</v>
      </c>
      <c r="AD5" s="30">
        <f>'среднегодовая на 2025 под факт'!AD5+'инообластные на 2025 под факт'!AD5</f>
        <v>1074</v>
      </c>
      <c r="AE5" s="30">
        <f>'среднегодовая на 2025 под факт'!AE5+'инообластные на 2025 под факт'!AE5</f>
        <v>2438407</v>
      </c>
      <c r="AF5" s="30">
        <f>'среднегодовая на 2025 под факт'!AF5+'инообластные на 2025 под факт'!AF5</f>
        <v>2912</v>
      </c>
      <c r="AG5" s="30">
        <f>'среднегодовая на 2025 под факт'!AG5+'инообластные на 2025 под факт'!AG5</f>
        <v>4198041</v>
      </c>
      <c r="AH5" s="30">
        <f>'среднегодовая на 2025 под факт'!AH5+'инообластные на 2025 под факт'!AH5</f>
        <v>1800</v>
      </c>
      <c r="AI5" s="30">
        <f>'среднегодовая на 2025 под факт'!AI5+'инообластные на 2025 под факт'!AI5</f>
        <v>4717634</v>
      </c>
      <c r="AJ5" s="30">
        <f>'среднегодовая на 2025 под факт'!AJ5+'инообластные на 2025 под факт'!AJ5</f>
        <v>19178</v>
      </c>
      <c r="AK5" s="30">
        <f>'среднегодовая на 2025 под факт'!AK5+'инообластные на 2025 под факт'!AK5</f>
        <v>30085833</v>
      </c>
      <c r="AL5" s="30">
        <f>'среднегодовая на 2025 под факт'!AL5+'инообластные на 2025 под факт'!AL5</f>
        <v>0</v>
      </c>
      <c r="AM5" s="30">
        <f>'среднегодовая на 2025 под факт'!AM5+'инообластные на 2025 под факт'!AM5</f>
        <v>0</v>
      </c>
      <c r="AN5" s="49">
        <f t="shared" ref="AN5:AN22" si="0">E5+G5+M5+O5+Q5+S5+AA5+AC5+AE5+AG5+AI5+AK5+AM5+I5+K5+U5+W5</f>
        <v>275848748</v>
      </c>
      <c r="AO5" s="39">
        <f>'среднегодовая на 2025 под факт'!AO5+'инообластные на 2025 под факт'!AO5</f>
        <v>10130</v>
      </c>
      <c r="AP5" s="31"/>
      <c r="AQ5" s="40">
        <f>'среднегодовая на 2025 под факт'!AQ5+'инообластные на 2025 под факт'!AQ5</f>
        <v>882144895</v>
      </c>
      <c r="AR5" s="39">
        <f>'среднегодовая на 2025 под факт'!AR5+'инообластные на 2025 под факт'!AR5</f>
        <v>2612</v>
      </c>
      <c r="AS5" s="31"/>
      <c r="AT5" s="40">
        <f>'среднегодовая на 2025 под факт'!AT5+'инообластные на 2025 под факт'!AT5</f>
        <v>61329129</v>
      </c>
      <c r="AU5" s="39">
        <f>'среднегодовая на 2025 под факт'!AU5+'инообластные на 2025 под факт'!AU5</f>
        <v>1610</v>
      </c>
      <c r="AV5" s="31">
        <f>'среднегодовая на 2025 под факт'!AV5+'инообластные на 2025 под факт'!AV5</f>
        <v>9493</v>
      </c>
      <c r="AW5" s="31">
        <f>'среднегодовая на 2025 под факт'!AW5+'инообластные на 2025 под факт'!AW5</f>
        <v>3217907</v>
      </c>
      <c r="AX5" s="31"/>
      <c r="AY5" s="31"/>
      <c r="AZ5" s="40"/>
      <c r="BA5" s="35"/>
      <c r="BB5" s="40"/>
      <c r="BC5" s="186">
        <f t="shared" ref="BC5:BC93" si="1">AN5+AQ5+AT5+AW5+BB5+AZ5</f>
        <v>1222540679</v>
      </c>
    </row>
    <row r="6" spans="1:55" s="1" customFormat="1" x14ac:dyDescent="0.25">
      <c r="A6" s="283"/>
      <c r="B6" s="283"/>
      <c r="C6" s="19" t="s">
        <v>119</v>
      </c>
      <c r="D6" s="41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50">
        <f t="shared" si="0"/>
        <v>0</v>
      </c>
      <c r="AO6" s="41">
        <f>'среднегодовая на 2025 под факт'!AO6+'инообластные на 2025 под факт'!AO6</f>
        <v>58</v>
      </c>
      <c r="AP6" s="26"/>
      <c r="AQ6" s="42">
        <f>'среднегодовая на 2025 под факт'!AQ6+'инообластные на 2025 под факт'!AQ6</f>
        <v>7352080</v>
      </c>
      <c r="AR6" s="43"/>
      <c r="AS6" s="27"/>
      <c r="AT6" s="44"/>
      <c r="AU6" s="43"/>
      <c r="AV6" s="27"/>
      <c r="AW6" s="27"/>
      <c r="AX6" s="27"/>
      <c r="AY6" s="27"/>
      <c r="AZ6" s="44"/>
      <c r="BA6" s="36"/>
      <c r="BB6" s="44"/>
      <c r="BC6" s="187">
        <f t="shared" si="1"/>
        <v>7352080</v>
      </c>
    </row>
    <row r="7" spans="1:55" s="1" customFormat="1" x14ac:dyDescent="0.25">
      <c r="A7" s="283"/>
      <c r="B7" s="283"/>
      <c r="C7" s="19" t="s">
        <v>121</v>
      </c>
      <c r="D7" s="41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50">
        <f t="shared" si="0"/>
        <v>0</v>
      </c>
      <c r="AO7" s="41">
        <f>'среднегодовая на 2025 под факт'!AO7+'инообластные на 2025 под факт'!AO7</f>
        <v>288</v>
      </c>
      <c r="AP7" s="26"/>
      <c r="AQ7" s="42">
        <f>'среднегодовая на 2025 под факт'!AQ7+'инообластные на 2025 под факт'!AQ7</f>
        <v>47992711</v>
      </c>
      <c r="AR7" s="43"/>
      <c r="AS7" s="27"/>
      <c r="AT7" s="44"/>
      <c r="AU7" s="43"/>
      <c r="AV7" s="27"/>
      <c r="AW7" s="27"/>
      <c r="AX7" s="27"/>
      <c r="AY7" s="27"/>
      <c r="AZ7" s="44"/>
      <c r="BA7" s="36"/>
      <c r="BB7" s="44"/>
      <c r="BC7" s="187">
        <f t="shared" si="1"/>
        <v>47992711</v>
      </c>
    </row>
    <row r="8" spans="1:55" s="1" customFormat="1" x14ac:dyDescent="0.25">
      <c r="A8" s="283"/>
      <c r="B8" s="283"/>
      <c r="C8" s="19" t="s">
        <v>188</v>
      </c>
      <c r="D8" s="41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50">
        <f t="shared" si="0"/>
        <v>0</v>
      </c>
      <c r="AO8" s="41">
        <f>'среднегодовая на 2025 под факт'!AO8+'инообластные на 2025 под факт'!AO8</f>
        <v>133</v>
      </c>
      <c r="AP8" s="26"/>
      <c r="AQ8" s="42">
        <f>'среднегодовая на 2025 под факт'!AQ8+'инообластные на 2025 под факт'!AQ8</f>
        <v>33067117</v>
      </c>
      <c r="AR8" s="43"/>
      <c r="AS8" s="27"/>
      <c r="AT8" s="44"/>
      <c r="AU8" s="43"/>
      <c r="AV8" s="27"/>
      <c r="AW8" s="27"/>
      <c r="AX8" s="27"/>
      <c r="AY8" s="27"/>
      <c r="AZ8" s="44"/>
      <c r="BA8" s="36"/>
      <c r="BB8" s="44"/>
      <c r="BC8" s="187">
        <f t="shared" si="1"/>
        <v>33067117</v>
      </c>
    </row>
    <row r="9" spans="1:55" s="1" customFormat="1" ht="31.5" x14ac:dyDescent="0.25">
      <c r="A9" s="283"/>
      <c r="B9" s="283"/>
      <c r="C9" s="18" t="s">
        <v>190</v>
      </c>
      <c r="D9" s="41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50">
        <f t="shared" si="0"/>
        <v>0</v>
      </c>
      <c r="AO9" s="43"/>
      <c r="AP9" s="27"/>
      <c r="AQ9" s="44"/>
      <c r="AR9" s="43"/>
      <c r="AS9" s="27"/>
      <c r="AT9" s="44"/>
      <c r="AU9" s="43"/>
      <c r="AV9" s="27"/>
      <c r="AW9" s="27"/>
      <c r="AX9" s="27"/>
      <c r="AY9" s="27"/>
      <c r="AZ9" s="44"/>
      <c r="BA9" s="36"/>
      <c r="BB9" s="44"/>
      <c r="BC9" s="188">
        <f t="shared" si="1"/>
        <v>0</v>
      </c>
    </row>
    <row r="10" spans="1:55" s="1" customFormat="1" x14ac:dyDescent="0.25">
      <c r="A10" s="283"/>
      <c r="B10" s="283"/>
      <c r="C10" s="19" t="s">
        <v>191</v>
      </c>
      <c r="D10" s="41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50">
        <f t="shared" si="0"/>
        <v>0</v>
      </c>
      <c r="AO10" s="43"/>
      <c r="AP10" s="27"/>
      <c r="AQ10" s="44"/>
      <c r="AR10" s="43"/>
      <c r="AS10" s="27"/>
      <c r="AT10" s="44"/>
      <c r="AU10" s="43"/>
      <c r="AV10" s="27"/>
      <c r="AW10" s="27"/>
      <c r="AX10" s="27"/>
      <c r="AY10" s="27"/>
      <c r="AZ10" s="44"/>
      <c r="BA10" s="36"/>
      <c r="BB10" s="44"/>
      <c r="BC10" s="188">
        <f t="shared" si="1"/>
        <v>0</v>
      </c>
    </row>
    <row r="11" spans="1:55" s="1" customFormat="1" x14ac:dyDescent="0.25">
      <c r="A11" s="283"/>
      <c r="B11" s="283"/>
      <c r="C11" s="19" t="s">
        <v>176</v>
      </c>
      <c r="D11" s="41">
        <f>'среднегодовая на 2025 под факт'!D11+'инообластные на 2025 под факт'!D11</f>
        <v>100</v>
      </c>
      <c r="E11" s="26">
        <f>'среднегодовая на 2025 под факт'!E11+'инообластные на 2025 под факт'!E11</f>
        <v>4184383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50">
        <f t="shared" si="0"/>
        <v>4184383</v>
      </c>
      <c r="AO11" s="43">
        <f>'среднегодовая на 2025 под факт'!AO11+'инообластные на 2025 под факт'!AO11</f>
        <v>121</v>
      </c>
      <c r="AP11" s="27"/>
      <c r="AQ11" s="44">
        <f>'среднегодовая на 2025 под факт'!AQ11+'инообластные на 2025 под факт'!AQ11</f>
        <v>33144552</v>
      </c>
      <c r="AR11" s="43"/>
      <c r="AS11" s="27"/>
      <c r="AT11" s="44"/>
      <c r="AU11" s="43"/>
      <c r="AV11" s="27"/>
      <c r="AW11" s="27"/>
      <c r="AX11" s="27"/>
      <c r="AY11" s="27"/>
      <c r="AZ11" s="44"/>
      <c r="BA11" s="36"/>
      <c r="BB11" s="44"/>
      <c r="BC11" s="188">
        <f t="shared" si="1"/>
        <v>37328935</v>
      </c>
    </row>
    <row r="12" spans="1:55" s="1" customFormat="1" x14ac:dyDescent="0.25">
      <c r="A12" s="283"/>
      <c r="B12" s="283"/>
      <c r="C12" s="107" t="s">
        <v>26</v>
      </c>
      <c r="D12" s="41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50">
        <f t="shared" si="0"/>
        <v>0</v>
      </c>
      <c r="AO12" s="43">
        <f>'среднегодовая на 2025 под факт'!AO12+'инообластные на 2025 под факт'!AO12</f>
        <v>44</v>
      </c>
      <c r="AP12" s="27"/>
      <c r="AQ12" s="44">
        <f>'среднегодовая на 2025 под факт'!AQ12+'инообластные на 2025 под факт'!AQ12</f>
        <v>11199706</v>
      </c>
      <c r="AR12" s="43"/>
      <c r="AS12" s="27"/>
      <c r="AT12" s="44"/>
      <c r="AU12" s="43"/>
      <c r="AV12" s="27"/>
      <c r="AW12" s="27"/>
      <c r="AX12" s="27"/>
      <c r="AY12" s="27"/>
      <c r="AZ12" s="44"/>
      <c r="BA12" s="36"/>
      <c r="BB12" s="44"/>
      <c r="BC12" s="188">
        <f t="shared" si="1"/>
        <v>11199706</v>
      </c>
    </row>
    <row r="13" spans="1:55" s="1" customFormat="1" x14ac:dyDescent="0.25">
      <c r="A13" s="283"/>
      <c r="B13" s="283"/>
      <c r="C13" s="19" t="s">
        <v>189</v>
      </c>
      <c r="D13" s="41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50">
        <f t="shared" si="0"/>
        <v>0</v>
      </c>
      <c r="AO13" s="43">
        <f>'среднегодовая на 2025 под факт'!AO13+'инообластные на 2025 под факт'!AO13</f>
        <v>44</v>
      </c>
      <c r="AP13" s="27"/>
      <c r="AQ13" s="44">
        <f>'среднегодовая на 2025 под факт'!AQ13+'инообластные на 2025 под факт'!AQ13</f>
        <v>11199706</v>
      </c>
      <c r="AR13" s="43"/>
      <c r="AS13" s="27"/>
      <c r="AT13" s="44"/>
      <c r="AU13" s="43"/>
      <c r="AV13" s="27"/>
      <c r="AW13" s="27"/>
      <c r="AX13" s="27"/>
      <c r="AY13" s="27"/>
      <c r="AZ13" s="44"/>
      <c r="BA13" s="36"/>
      <c r="BB13" s="44"/>
      <c r="BC13" s="187">
        <f t="shared" si="1"/>
        <v>11199706</v>
      </c>
    </row>
    <row r="14" spans="1:55" s="1" customFormat="1" ht="31.5" x14ac:dyDescent="0.25">
      <c r="A14" s="283"/>
      <c r="B14" s="283"/>
      <c r="C14" s="18" t="s">
        <v>186</v>
      </c>
      <c r="D14" s="41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50">
        <f t="shared" si="0"/>
        <v>0</v>
      </c>
      <c r="AO14" s="43"/>
      <c r="AP14" s="27"/>
      <c r="AQ14" s="44"/>
      <c r="AR14" s="43"/>
      <c r="AS14" s="27"/>
      <c r="AT14" s="44"/>
      <c r="AU14" s="43"/>
      <c r="AV14" s="27"/>
      <c r="AW14" s="27"/>
      <c r="AX14" s="27"/>
      <c r="AY14" s="27"/>
      <c r="AZ14" s="44"/>
      <c r="BA14" s="36"/>
      <c r="BB14" s="44"/>
      <c r="BC14" s="187">
        <f t="shared" si="1"/>
        <v>0</v>
      </c>
    </row>
    <row r="15" spans="1:55" s="1" customFormat="1" x14ac:dyDescent="0.25">
      <c r="A15" s="283"/>
      <c r="B15" s="283"/>
      <c r="C15" s="21" t="s">
        <v>183</v>
      </c>
      <c r="D15" s="41">
        <f>'среднегодовая на 2025 под факт'!D15+'инообластные на 2025 под факт'!D15</f>
        <v>688</v>
      </c>
      <c r="E15" s="26">
        <f>'среднегодовая на 2025 под факт'!E15+'инообластные на 2025 под факт'!E15</f>
        <v>466239</v>
      </c>
      <c r="F15" s="26">
        <f>'среднегодовая на 2025 под факт'!F15+'инообластные на 2025 под факт'!F15</f>
        <v>309</v>
      </c>
      <c r="G15" s="26">
        <f>'среднегодовая на 2025 под факт'!G15+'инообластные на 2025 под факт'!G15</f>
        <v>446917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50">
        <f t="shared" si="0"/>
        <v>913156</v>
      </c>
      <c r="AO15" s="43"/>
      <c r="AP15" s="27"/>
      <c r="AQ15" s="44"/>
      <c r="AR15" s="43"/>
      <c r="AS15" s="27"/>
      <c r="AT15" s="44"/>
      <c r="AU15" s="43"/>
      <c r="AV15" s="27"/>
      <c r="AW15" s="27"/>
      <c r="AX15" s="27"/>
      <c r="AY15" s="27"/>
      <c r="AZ15" s="44"/>
      <c r="BA15" s="36"/>
      <c r="BB15" s="44"/>
      <c r="BC15" s="188">
        <f t="shared" si="1"/>
        <v>913156</v>
      </c>
    </row>
    <row r="16" spans="1:55" s="1" customFormat="1" x14ac:dyDescent="0.25">
      <c r="A16" s="283"/>
      <c r="B16" s="283"/>
      <c r="C16" s="19" t="s">
        <v>179</v>
      </c>
      <c r="D16" s="41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50">
        <f t="shared" si="0"/>
        <v>0</v>
      </c>
      <c r="AO16" s="43"/>
      <c r="AP16" s="27"/>
      <c r="AQ16" s="44"/>
      <c r="AR16" s="43"/>
      <c r="AS16" s="27"/>
      <c r="AT16" s="44"/>
      <c r="AU16" s="43"/>
      <c r="AV16" s="27"/>
      <c r="AW16" s="27"/>
      <c r="AX16" s="27"/>
      <c r="AY16" s="27"/>
      <c r="AZ16" s="44"/>
      <c r="BA16" s="36"/>
      <c r="BB16" s="44"/>
      <c r="BC16" s="188">
        <f t="shared" si="1"/>
        <v>0</v>
      </c>
    </row>
    <row r="17" spans="1:55" s="1" customFormat="1" x14ac:dyDescent="0.25">
      <c r="A17" s="283"/>
      <c r="B17" s="283"/>
      <c r="C17" s="19" t="s">
        <v>60</v>
      </c>
      <c r="D17" s="41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>
        <f>'среднегодовая на 2025 под факт'!AL17+'инообластные на 2025 под факт'!AL17</f>
        <v>23028</v>
      </c>
      <c r="AM17" s="26">
        <f>'среднегодовая на 2025 под факт'!AM17+'инообластные на 2025 под факт'!AM17</f>
        <v>3944759</v>
      </c>
      <c r="AN17" s="50">
        <f t="shared" si="0"/>
        <v>3944759</v>
      </c>
      <c r="AO17" s="43"/>
      <c r="AP17" s="27"/>
      <c r="AQ17" s="44"/>
      <c r="AR17" s="43"/>
      <c r="AS17" s="27"/>
      <c r="AT17" s="44"/>
      <c r="AU17" s="43"/>
      <c r="AV17" s="27"/>
      <c r="AW17" s="27"/>
      <c r="AX17" s="27"/>
      <c r="AY17" s="27"/>
      <c r="AZ17" s="44"/>
      <c r="BA17" s="36"/>
      <c r="BB17" s="44"/>
      <c r="BC17" s="188">
        <f t="shared" si="1"/>
        <v>3944759</v>
      </c>
    </row>
    <row r="18" spans="1:55" s="1" customFormat="1" x14ac:dyDescent="0.25">
      <c r="A18" s="283"/>
      <c r="B18" s="283"/>
      <c r="C18" s="19" t="s">
        <v>187</v>
      </c>
      <c r="D18" s="41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>
        <f>'среднегодовая на 2025 под факт'!AL18+'инообластные на 2025 под факт'!AL18</f>
        <v>0</v>
      </c>
      <c r="AM18" s="26">
        <f>'среднегодовая на 2025 под факт'!AM18+'инообластные на 2025 под факт'!AM18</f>
        <v>0</v>
      </c>
      <c r="AN18" s="50">
        <f t="shared" si="0"/>
        <v>0</v>
      </c>
      <c r="AO18" s="43"/>
      <c r="AP18" s="27"/>
      <c r="AQ18" s="44"/>
      <c r="AR18" s="43"/>
      <c r="AS18" s="27"/>
      <c r="AT18" s="44"/>
      <c r="AU18" s="43"/>
      <c r="AV18" s="27"/>
      <c r="AW18" s="27"/>
      <c r="AX18" s="27"/>
      <c r="AY18" s="27"/>
      <c r="AZ18" s="44"/>
      <c r="BA18" s="36"/>
      <c r="BB18" s="44"/>
      <c r="BC18" s="188">
        <f t="shared" si="1"/>
        <v>0</v>
      </c>
    </row>
    <row r="19" spans="1:55" s="1" customFormat="1" x14ac:dyDescent="0.25">
      <c r="A19" s="283"/>
      <c r="B19" s="283"/>
      <c r="C19" s="19" t="s">
        <v>74</v>
      </c>
      <c r="D19" s="41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>
        <f>'среднегодовая на 2025 под факт'!AL19+'инообластные на 2025 под факт'!AL19</f>
        <v>1194</v>
      </c>
      <c r="AM19" s="26">
        <f>'среднегодовая на 2025 под факт'!AM19+'инообластные на 2025 под факт'!AM19</f>
        <v>1351114</v>
      </c>
      <c r="AN19" s="50">
        <f t="shared" si="0"/>
        <v>1351114</v>
      </c>
      <c r="AO19" s="43"/>
      <c r="AP19" s="27"/>
      <c r="AQ19" s="44"/>
      <c r="AR19" s="43"/>
      <c r="AS19" s="27"/>
      <c r="AT19" s="44"/>
      <c r="AU19" s="43"/>
      <c r="AV19" s="27"/>
      <c r="AW19" s="27"/>
      <c r="AX19" s="27"/>
      <c r="AY19" s="27"/>
      <c r="AZ19" s="44"/>
      <c r="BA19" s="36"/>
      <c r="BB19" s="44"/>
      <c r="BC19" s="188">
        <f t="shared" si="1"/>
        <v>1351114</v>
      </c>
    </row>
    <row r="20" spans="1:55" s="1" customFormat="1" x14ac:dyDescent="0.25">
      <c r="A20" s="283"/>
      <c r="B20" s="283"/>
      <c r="C20" s="18" t="s">
        <v>185</v>
      </c>
      <c r="D20" s="41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>
        <f>'среднегодовая на 2025 под факт'!AL20+'инообластные на 2025 под факт'!AL20</f>
        <v>0</v>
      </c>
      <c r="AM20" s="26">
        <f>'среднегодовая на 2025 под факт'!AM20+'инообластные на 2025 под факт'!AM20</f>
        <v>0</v>
      </c>
      <c r="AN20" s="50">
        <f t="shared" si="0"/>
        <v>0</v>
      </c>
      <c r="AO20" s="43"/>
      <c r="AP20" s="27"/>
      <c r="AQ20" s="44"/>
      <c r="AR20" s="43"/>
      <c r="AS20" s="27"/>
      <c r="AT20" s="44"/>
      <c r="AU20" s="43"/>
      <c r="AV20" s="27"/>
      <c r="AW20" s="27"/>
      <c r="AX20" s="27"/>
      <c r="AY20" s="27"/>
      <c r="AZ20" s="44"/>
      <c r="BA20" s="36"/>
      <c r="BB20" s="44"/>
      <c r="BC20" s="188">
        <f t="shared" si="1"/>
        <v>0</v>
      </c>
    </row>
    <row r="21" spans="1:55" s="1" customFormat="1" x14ac:dyDescent="0.25">
      <c r="A21" s="283"/>
      <c r="B21" s="283"/>
      <c r="C21" s="18" t="s">
        <v>86</v>
      </c>
      <c r="D21" s="41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>
        <f>'среднегодовая на 2025 под факт'!AL21+'инообластные на 2025 под факт'!AL21</f>
        <v>2495</v>
      </c>
      <c r="AM21" s="26">
        <f>'среднегодовая на 2025 под факт'!AM21+'инообластные на 2025 под факт'!AM21</f>
        <v>1229124</v>
      </c>
      <c r="AN21" s="50">
        <f t="shared" si="0"/>
        <v>1229124</v>
      </c>
      <c r="AO21" s="43"/>
      <c r="AP21" s="27"/>
      <c r="AQ21" s="44"/>
      <c r="AR21" s="43"/>
      <c r="AS21" s="27"/>
      <c r="AT21" s="44"/>
      <c r="AU21" s="43"/>
      <c r="AV21" s="27"/>
      <c r="AW21" s="27"/>
      <c r="AX21" s="27"/>
      <c r="AY21" s="27"/>
      <c r="AZ21" s="44"/>
      <c r="BA21" s="36"/>
      <c r="BB21" s="44"/>
      <c r="BC21" s="188">
        <f t="shared" si="1"/>
        <v>1229124</v>
      </c>
    </row>
    <row r="22" spans="1:55" s="1" customFormat="1" x14ac:dyDescent="0.25">
      <c r="A22" s="283"/>
      <c r="B22" s="283"/>
      <c r="C22" s="18" t="s">
        <v>100</v>
      </c>
      <c r="D22" s="41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>
        <f>'среднегодовая на 2025 под факт'!AL22+'инообластные на 2025 под факт'!AL22</f>
        <v>1777</v>
      </c>
      <c r="AM22" s="26">
        <f>'среднегодовая на 2025 под факт'!AM22+'инообластные на 2025 под факт'!AM22</f>
        <v>16174841</v>
      </c>
      <c r="AN22" s="50">
        <f t="shared" si="0"/>
        <v>16174841</v>
      </c>
      <c r="AO22" s="43"/>
      <c r="AP22" s="27">
        <f>'среднегодовая на 2025 под факт'!AP22+'инообластные на 2025 под факт'!AP22</f>
        <v>1221</v>
      </c>
      <c r="AQ22" s="44">
        <f>'среднегодовая на 2025 под факт'!AQ22+'инообластные на 2025 под факт'!AQ22</f>
        <v>10861443</v>
      </c>
      <c r="AR22" s="43"/>
      <c r="AS22" s="27">
        <f>'среднегодовая на 2025 под факт'!AS22+'инообластные на 2025 под факт'!AS22</f>
        <v>797</v>
      </c>
      <c r="AT22" s="44">
        <f>'среднегодовая на 2025 под факт'!AT22+'инообластные на 2025 под факт'!AT22</f>
        <v>7293362</v>
      </c>
      <c r="AU22" s="43"/>
      <c r="AV22" s="27"/>
      <c r="AW22" s="27"/>
      <c r="AX22" s="27"/>
      <c r="AY22" s="27"/>
      <c r="AZ22" s="44"/>
      <c r="BA22" s="36"/>
      <c r="BB22" s="44"/>
      <c r="BC22" s="188">
        <f t="shared" si="1"/>
        <v>34329646</v>
      </c>
    </row>
    <row r="23" spans="1:55" s="1" customFormat="1" x14ac:dyDescent="0.25">
      <c r="A23" s="283"/>
      <c r="B23" s="283"/>
      <c r="C23" s="18" t="s">
        <v>178</v>
      </c>
      <c r="D23" s="41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>
        <f>'среднегодовая на 2025 под факт'!AL23+'инообластные на 2025 под факт'!AL23</f>
        <v>0</v>
      </c>
      <c r="AM23" s="26">
        <f>'среднегодовая на 2025 под факт'!AM23+'инообластные на 2025 под факт'!AM23</f>
        <v>0</v>
      </c>
      <c r="AN23" s="50">
        <v>0</v>
      </c>
      <c r="AO23" s="43"/>
      <c r="AP23" s="27"/>
      <c r="AQ23" s="44"/>
      <c r="AR23" s="43"/>
      <c r="AS23" s="27"/>
      <c r="AT23" s="44"/>
      <c r="AU23" s="43"/>
      <c r="AV23" s="27"/>
      <c r="AW23" s="27"/>
      <c r="AX23" s="27"/>
      <c r="AY23" s="27"/>
      <c r="AZ23" s="44"/>
      <c r="BA23" s="36"/>
      <c r="BB23" s="44"/>
      <c r="BC23" s="188">
        <f t="shared" si="1"/>
        <v>0</v>
      </c>
    </row>
    <row r="24" spans="1:55" s="1" customFormat="1" x14ac:dyDescent="0.25">
      <c r="A24" s="283"/>
      <c r="B24" s="283"/>
      <c r="C24" s="18" t="s">
        <v>91</v>
      </c>
      <c r="D24" s="41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>
        <f>'среднегодовая на 2025 под факт'!AL24+'инообластные на 2025 под факт'!AL24</f>
        <v>516</v>
      </c>
      <c r="AM24" s="26">
        <f>'среднегодовая на 2025 под факт'!AM24+'инообластные на 2025 под факт'!AM24</f>
        <v>1223381</v>
      </c>
      <c r="AN24" s="50">
        <f>E24+G24+M24+O24+Q24+S24+AA24+AC24+AE24+AG24+AI24+AK24+AM24+I24+K24+U24+W24</f>
        <v>1223381</v>
      </c>
      <c r="AO24" s="43"/>
      <c r="AP24" s="27"/>
      <c r="AQ24" s="44"/>
      <c r="AR24" s="43"/>
      <c r="AS24" s="27"/>
      <c r="AT24" s="44"/>
      <c r="AU24" s="43"/>
      <c r="AV24" s="27"/>
      <c r="AW24" s="27"/>
      <c r="AX24" s="27"/>
      <c r="AY24" s="27"/>
      <c r="AZ24" s="44"/>
      <c r="BA24" s="36"/>
      <c r="BB24" s="44"/>
      <c r="BC24" s="188">
        <f t="shared" si="1"/>
        <v>1223381</v>
      </c>
    </row>
    <row r="25" spans="1:55" s="1" customFormat="1" x14ac:dyDescent="0.25">
      <c r="A25" s="283"/>
      <c r="B25" s="283"/>
      <c r="C25" s="18" t="s">
        <v>75</v>
      </c>
      <c r="D25" s="41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>
        <f>'среднегодовая на 2025 под факт'!AL25+'инообластные на 2025 под факт'!AL25</f>
        <v>630</v>
      </c>
      <c r="AM25" s="26">
        <f>'среднегодовая на 2025 под факт'!AM25+'инообластные на 2025 под факт'!AM25</f>
        <v>692114</v>
      </c>
      <c r="AN25" s="50">
        <f>E25+G25+M25+O25+Q25+S25+AA25+AC25+AE25+AG25+AI25+AK25+AM25+I25+K25+U25+W25</f>
        <v>692114</v>
      </c>
      <c r="AO25" s="43"/>
      <c r="AP25" s="27"/>
      <c r="AQ25" s="44"/>
      <c r="AR25" s="43"/>
      <c r="AS25" s="27"/>
      <c r="AT25" s="44"/>
      <c r="AU25" s="43"/>
      <c r="AV25" s="27"/>
      <c r="AW25" s="27"/>
      <c r="AX25" s="27"/>
      <c r="AY25" s="27"/>
      <c r="AZ25" s="44"/>
      <c r="BA25" s="36"/>
      <c r="BB25" s="44"/>
      <c r="BC25" s="188">
        <f t="shared" si="1"/>
        <v>692114</v>
      </c>
    </row>
    <row r="26" spans="1:55" s="1" customFormat="1" ht="47.25" x14ac:dyDescent="0.25">
      <c r="A26" s="283"/>
      <c r="B26" s="283"/>
      <c r="C26" s="21" t="s">
        <v>92</v>
      </c>
      <c r="D26" s="41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50">
        <f t="shared" ref="AN26:AN89" si="2">E26+G26+M26+O26+Q26+S26+AA26+AC26+AE26+AG26+AI26+AK26+AM26+I26+K26+U26+W26</f>
        <v>0</v>
      </c>
      <c r="AO26" s="43"/>
      <c r="AP26" s="27"/>
      <c r="AQ26" s="44"/>
      <c r="AR26" s="43"/>
      <c r="AS26" s="27"/>
      <c r="AT26" s="44"/>
      <c r="AU26" s="43"/>
      <c r="AV26" s="27"/>
      <c r="AW26" s="27"/>
      <c r="AX26" s="27"/>
      <c r="AY26" s="27"/>
      <c r="AZ26" s="44"/>
      <c r="BA26" s="36"/>
      <c r="BB26" s="44"/>
      <c r="BC26" s="188">
        <f t="shared" si="1"/>
        <v>0</v>
      </c>
    </row>
    <row r="27" spans="1:55" s="1" customFormat="1" ht="31.5" x14ac:dyDescent="0.25">
      <c r="A27" s="283"/>
      <c r="B27" s="283"/>
      <c r="C27" s="21" t="s">
        <v>180</v>
      </c>
      <c r="D27" s="41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50">
        <f t="shared" si="2"/>
        <v>0</v>
      </c>
      <c r="AO27" s="43"/>
      <c r="AP27" s="27"/>
      <c r="AQ27" s="44">
        <f>'среднегодовая на 2025 под факт'!AQ27+'инообластные на 2025 под факт'!AQ27</f>
        <v>671723800</v>
      </c>
      <c r="AR27" s="43"/>
      <c r="AS27" s="27"/>
      <c r="AT27" s="44"/>
      <c r="AU27" s="43"/>
      <c r="AV27" s="27"/>
      <c r="AW27" s="27"/>
      <c r="AX27" s="27"/>
      <c r="AY27" s="27"/>
      <c r="AZ27" s="44"/>
      <c r="BA27" s="36"/>
      <c r="BB27" s="44"/>
      <c r="BC27" s="188">
        <f t="shared" si="1"/>
        <v>671723800</v>
      </c>
    </row>
    <row r="28" spans="1:55" s="1" customFormat="1" ht="16.5" thickBot="1" x14ac:dyDescent="0.3">
      <c r="A28" s="284"/>
      <c r="B28" s="284"/>
      <c r="C28" s="22" t="s">
        <v>148</v>
      </c>
      <c r="D28" s="54"/>
      <c r="E28" s="32">
        <f>'среднегодовая на 2025 под факт'!E28+'инообластные на 2025 под факт'!E28</f>
        <v>3162256</v>
      </c>
      <c r="F28" s="32"/>
      <c r="G28" s="32">
        <f>'среднегодовая на 2025 под факт'!G28+'инообластные на 2025 под факт'!G28</f>
        <v>1938819</v>
      </c>
      <c r="H28" s="32"/>
      <c r="I28" s="32">
        <f>'среднегодовая на 2025 под факт'!I28+'инообластные на 2025 под факт'!I28</f>
        <v>776817</v>
      </c>
      <c r="J28" s="32"/>
      <c r="K28" s="32">
        <f>'среднегодовая на 2025 под факт'!K28+'инообластные на 2025 под факт'!K28</f>
        <v>601536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51">
        <f t="shared" si="2"/>
        <v>6479428</v>
      </c>
      <c r="AO28" s="45"/>
      <c r="AP28" s="33"/>
      <c r="AQ28" s="46"/>
      <c r="AR28" s="45"/>
      <c r="AS28" s="33"/>
      <c r="AT28" s="46"/>
      <c r="AU28" s="45"/>
      <c r="AV28" s="33"/>
      <c r="AW28" s="33"/>
      <c r="AX28" s="33"/>
      <c r="AY28" s="33"/>
      <c r="AZ28" s="46"/>
      <c r="BA28" s="37"/>
      <c r="BB28" s="46"/>
      <c r="BC28" s="189">
        <f t="shared" si="1"/>
        <v>6479428</v>
      </c>
    </row>
    <row r="29" spans="1:55" s="1" customFormat="1" x14ac:dyDescent="0.25">
      <c r="A29" s="282">
        <v>2</v>
      </c>
      <c r="B29" s="282">
        <v>790002</v>
      </c>
      <c r="C29" s="96" t="s">
        <v>10</v>
      </c>
      <c r="D29" s="73">
        <f>'среднегодовая на 2025 под факт'!D29+'инообластные на 2025 под факт'!D29</f>
        <v>88178</v>
      </c>
      <c r="E29" s="30">
        <f>'среднегодовая на 2025 под факт'!E29+'инообластные на 2025 под факт'!E29</f>
        <v>86756004</v>
      </c>
      <c r="F29" s="30">
        <f>'среднегодовая на 2025 под факт'!F29+'инообластные на 2025 под факт'!F29</f>
        <v>10346</v>
      </c>
      <c r="G29" s="30">
        <f>'среднегодовая на 2025 под факт'!G29+'инообластные на 2025 под факт'!G29</f>
        <v>34039586</v>
      </c>
      <c r="H29" s="30">
        <f>'среднегодовая на 2025 под факт'!H29+'инообластные на 2025 под факт'!H29</f>
        <v>1431</v>
      </c>
      <c r="I29" s="30">
        <f>'среднегодовая на 2025 под факт'!I29+'инообластные на 2025 под факт'!I29</f>
        <v>1619833</v>
      </c>
      <c r="J29" s="30">
        <f>'среднегодовая на 2025 под факт'!J29+'инообластные на 2025 под факт'!J29</f>
        <v>273</v>
      </c>
      <c r="K29" s="30">
        <f>'среднегодовая на 2025 под факт'!K29+'инообластные на 2025 под факт'!K29</f>
        <v>1202163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>
        <f>'среднегодовая на 2025 под факт'!V29+'инообластные на 2025 под факт'!V29</f>
        <v>1</v>
      </c>
      <c r="W29" s="30">
        <f>'среднегодовая на 2025 под факт'!W29+'инообластные на 2025 под факт'!W29</f>
        <v>3426</v>
      </c>
      <c r="X29" s="30"/>
      <c r="Y29" s="30"/>
      <c r="Z29" s="30"/>
      <c r="AA29" s="30"/>
      <c r="AB29" s="30">
        <f>'среднегодовая на 2025 под факт'!AB29+'инообластные на 2025 под факт'!AB29</f>
        <v>329</v>
      </c>
      <c r="AC29" s="30">
        <f>'среднегодовая на 2025 под факт'!AC29+'инообластные на 2025 под факт'!AC29</f>
        <v>5031793</v>
      </c>
      <c r="AD29" s="30"/>
      <c r="AE29" s="30"/>
      <c r="AF29" s="30"/>
      <c r="AG29" s="30"/>
      <c r="AH29" s="30">
        <f>'среднегодовая на 2025 под факт'!AH29+'инообластные на 2025 под факт'!AH29</f>
        <v>14037</v>
      </c>
      <c r="AI29" s="30">
        <f>'среднегодовая на 2025 под факт'!AI29+'инообластные на 2025 под факт'!AI29</f>
        <v>55578249</v>
      </c>
      <c r="AJ29" s="30">
        <f>'среднегодовая на 2025 под факт'!AJ29+'инообластные на 2025 под факт'!AJ29</f>
        <v>36236</v>
      </c>
      <c r="AK29" s="30">
        <f>'среднегодовая на 2025 под факт'!AK29+'инообластные на 2025 под факт'!AK29</f>
        <v>56849212</v>
      </c>
      <c r="AL29" s="30"/>
      <c r="AM29" s="30"/>
      <c r="AN29" s="49">
        <f t="shared" si="2"/>
        <v>241080266</v>
      </c>
      <c r="AO29" s="39">
        <f>'среднегодовая на 2025 под факт'!AO29+'инообластные на 2025 под факт'!AO29</f>
        <v>1328</v>
      </c>
      <c r="AP29" s="31"/>
      <c r="AQ29" s="40">
        <f>'среднегодовая на 2025 под факт'!AQ29+'инообластные на 2025 под факт'!AQ29</f>
        <v>70131141</v>
      </c>
      <c r="AR29" s="39">
        <f>'среднегодовая на 2025 под факт'!AR29+'инообластные на 2025 под факт'!AR29</f>
        <v>1208</v>
      </c>
      <c r="AS29" s="31"/>
      <c r="AT29" s="40">
        <f>'среднегодовая на 2025 под факт'!AT29+'инообластные на 2025 под факт'!AT29</f>
        <v>33758063</v>
      </c>
      <c r="AU29" s="39"/>
      <c r="AV29" s="31"/>
      <c r="AW29" s="31"/>
      <c r="AX29" s="31"/>
      <c r="AY29" s="31"/>
      <c r="AZ29" s="40"/>
      <c r="BA29" s="35"/>
      <c r="BB29" s="40"/>
      <c r="BC29" s="186">
        <f t="shared" si="1"/>
        <v>344969470</v>
      </c>
    </row>
    <row r="30" spans="1:55" s="1" customFormat="1" ht="31.5" x14ac:dyDescent="0.25">
      <c r="A30" s="283"/>
      <c r="B30" s="283"/>
      <c r="C30" s="18" t="s">
        <v>190</v>
      </c>
      <c r="D30" s="41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50">
        <f t="shared" si="2"/>
        <v>0</v>
      </c>
      <c r="AO30" s="43"/>
      <c r="AP30" s="27"/>
      <c r="AQ30" s="44"/>
      <c r="AR30" s="43"/>
      <c r="AS30" s="27"/>
      <c r="AT30" s="44"/>
      <c r="AU30" s="43"/>
      <c r="AV30" s="27"/>
      <c r="AW30" s="27"/>
      <c r="AX30" s="27"/>
      <c r="AY30" s="27"/>
      <c r="AZ30" s="44"/>
      <c r="BA30" s="36"/>
      <c r="BB30" s="44"/>
      <c r="BC30" s="192">
        <f t="shared" si="1"/>
        <v>0</v>
      </c>
    </row>
    <row r="31" spans="1:55" s="1" customFormat="1" x14ac:dyDescent="0.25">
      <c r="A31" s="283"/>
      <c r="B31" s="283"/>
      <c r="C31" s="178" t="s">
        <v>179</v>
      </c>
      <c r="D31" s="41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50">
        <f t="shared" si="2"/>
        <v>0</v>
      </c>
      <c r="AO31" s="43"/>
      <c r="AP31" s="27"/>
      <c r="AQ31" s="44"/>
      <c r="AR31" s="43"/>
      <c r="AS31" s="27"/>
      <c r="AT31" s="44"/>
      <c r="AU31" s="43"/>
      <c r="AV31" s="27"/>
      <c r="AW31" s="27"/>
      <c r="AX31" s="27"/>
      <c r="AY31" s="27"/>
      <c r="AZ31" s="44"/>
      <c r="BA31" s="36"/>
      <c r="BB31" s="44"/>
      <c r="BC31" s="188">
        <f t="shared" si="1"/>
        <v>0</v>
      </c>
    </row>
    <row r="32" spans="1:55" s="1" customFormat="1" x14ac:dyDescent="0.25">
      <c r="A32" s="283"/>
      <c r="B32" s="283"/>
      <c r="C32" s="18" t="s">
        <v>87</v>
      </c>
      <c r="D32" s="41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50">
        <f t="shared" si="2"/>
        <v>0</v>
      </c>
      <c r="AO32" s="43"/>
      <c r="AP32" s="27"/>
      <c r="AQ32" s="44"/>
      <c r="AR32" s="43"/>
      <c r="AS32" s="27"/>
      <c r="AT32" s="44"/>
      <c r="AU32" s="43"/>
      <c r="AV32" s="27"/>
      <c r="AW32" s="27"/>
      <c r="AX32" s="27"/>
      <c r="AY32" s="27"/>
      <c r="AZ32" s="44"/>
      <c r="BA32" s="36"/>
      <c r="BB32" s="44"/>
      <c r="BC32" s="188">
        <f t="shared" si="1"/>
        <v>0</v>
      </c>
    </row>
    <row r="33" spans="1:55" s="1" customFormat="1" x14ac:dyDescent="0.25">
      <c r="A33" s="283"/>
      <c r="B33" s="283"/>
      <c r="C33" s="18" t="s">
        <v>74</v>
      </c>
      <c r="D33" s="41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>
        <f>'среднегодовая на 2025 под факт'!AL33+'инообластные на 2025 под факт'!AL33</f>
        <v>1752</v>
      </c>
      <c r="AM33" s="26">
        <f>'среднегодовая на 2025 под факт'!AM33+'инообластные на 2025 под факт'!AM33</f>
        <v>2985602</v>
      </c>
      <c r="AN33" s="50">
        <f t="shared" si="2"/>
        <v>2985602</v>
      </c>
      <c r="AO33" s="43"/>
      <c r="AP33" s="27"/>
      <c r="AQ33" s="44"/>
      <c r="AR33" s="43"/>
      <c r="AS33" s="27"/>
      <c r="AT33" s="44"/>
      <c r="AU33" s="43"/>
      <c r="AV33" s="27"/>
      <c r="AW33" s="27"/>
      <c r="AX33" s="27"/>
      <c r="AY33" s="27"/>
      <c r="AZ33" s="44"/>
      <c r="BA33" s="36"/>
      <c r="BB33" s="44"/>
      <c r="BC33" s="188">
        <f t="shared" si="1"/>
        <v>2985602</v>
      </c>
    </row>
    <row r="34" spans="1:55" s="1" customFormat="1" x14ac:dyDescent="0.25">
      <c r="A34" s="283"/>
      <c r="B34" s="283"/>
      <c r="C34" s="18" t="s">
        <v>75</v>
      </c>
      <c r="D34" s="41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>
        <f>'среднегодовая на 2025 под факт'!AL34+'инообластные на 2025 под факт'!AL34</f>
        <v>284</v>
      </c>
      <c r="AM34" s="26">
        <f>'среднегодовая на 2025 под факт'!AM34+'инообластные на 2025 под факт'!AM34</f>
        <v>307906</v>
      </c>
      <c r="AN34" s="50">
        <f t="shared" si="2"/>
        <v>307906</v>
      </c>
      <c r="AO34" s="43"/>
      <c r="AP34" s="27"/>
      <c r="AQ34" s="44"/>
      <c r="AR34" s="43"/>
      <c r="AS34" s="27"/>
      <c r="AT34" s="44"/>
      <c r="AU34" s="43"/>
      <c r="AV34" s="27"/>
      <c r="AW34" s="27"/>
      <c r="AX34" s="27"/>
      <c r="AY34" s="27"/>
      <c r="AZ34" s="44"/>
      <c r="BA34" s="36"/>
      <c r="BB34" s="44"/>
      <c r="BC34" s="188">
        <f t="shared" si="1"/>
        <v>307906</v>
      </c>
    </row>
    <row r="35" spans="1:55" s="1" customFormat="1" x14ac:dyDescent="0.25">
      <c r="A35" s="283"/>
      <c r="B35" s="283"/>
      <c r="C35" s="18" t="s">
        <v>112</v>
      </c>
      <c r="D35" s="41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>
        <f>'среднегодовая на 2025 под факт'!AL35+'инообластные на 2025 под факт'!AL35</f>
        <v>42</v>
      </c>
      <c r="AM35" s="26">
        <f>'среднегодовая на 2025 под факт'!AM35+'инообластные на 2025 под факт'!AM35</f>
        <v>61192</v>
      </c>
      <c r="AN35" s="50">
        <f t="shared" si="2"/>
        <v>61192</v>
      </c>
      <c r="AO35" s="43"/>
      <c r="AP35" s="27"/>
      <c r="AQ35" s="44"/>
      <c r="AR35" s="43"/>
      <c r="AS35" s="27"/>
      <c r="AT35" s="44"/>
      <c r="AU35" s="43"/>
      <c r="AV35" s="27"/>
      <c r="AW35" s="27"/>
      <c r="AX35" s="27"/>
      <c r="AY35" s="27"/>
      <c r="AZ35" s="44"/>
      <c r="BA35" s="36"/>
      <c r="BB35" s="44"/>
      <c r="BC35" s="188">
        <f t="shared" si="1"/>
        <v>61192</v>
      </c>
    </row>
    <row r="36" spans="1:55" s="1" customFormat="1" ht="16.5" thickBot="1" x14ac:dyDescent="0.3">
      <c r="A36" s="284"/>
      <c r="B36" s="284"/>
      <c r="C36" s="22" t="s">
        <v>148</v>
      </c>
      <c r="D36" s="54"/>
      <c r="E36" s="32">
        <f>'среднегодовая на 2025 под факт'!E36+'инообластные на 2025 под факт'!E36</f>
        <v>1524928</v>
      </c>
      <c r="F36" s="32"/>
      <c r="G36" s="32">
        <f>'среднегодовая на 2025 под факт'!G36+'инообластные на 2025 под факт'!G36</f>
        <v>600338</v>
      </c>
      <c r="H36" s="32"/>
      <c r="I36" s="32">
        <f>'среднегодовая на 2025 под факт'!I36+'инообластные на 2025 под факт'!I36</f>
        <v>28505</v>
      </c>
      <c r="J36" s="32"/>
      <c r="K36" s="32">
        <f>'среднегодовая на 2025 под факт'!K36+'инообластные на 2025 под факт'!K36</f>
        <v>21205</v>
      </c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51">
        <f t="shared" si="2"/>
        <v>2174976</v>
      </c>
      <c r="AO36" s="45"/>
      <c r="AP36" s="33"/>
      <c r="AQ36" s="46"/>
      <c r="AR36" s="45"/>
      <c r="AS36" s="33"/>
      <c r="AT36" s="46"/>
      <c r="AU36" s="45"/>
      <c r="AV36" s="33"/>
      <c r="AW36" s="33"/>
      <c r="AX36" s="33"/>
      <c r="AY36" s="33"/>
      <c r="AZ36" s="46"/>
      <c r="BA36" s="37"/>
      <c r="BB36" s="46"/>
      <c r="BC36" s="189">
        <f t="shared" si="1"/>
        <v>2174976</v>
      </c>
    </row>
    <row r="37" spans="1:55" s="1" customFormat="1" ht="16.5" thickBot="1" x14ac:dyDescent="0.3">
      <c r="A37" s="244">
        <v>3</v>
      </c>
      <c r="B37" s="240">
        <v>790003</v>
      </c>
      <c r="C37" s="204" t="s">
        <v>14</v>
      </c>
      <c r="D37" s="77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60">
        <f t="shared" si="2"/>
        <v>0</v>
      </c>
      <c r="AO37" s="56"/>
      <c r="AP37" s="57"/>
      <c r="AQ37" s="58"/>
      <c r="AR37" s="56"/>
      <c r="AS37" s="57"/>
      <c r="AT37" s="58"/>
      <c r="AU37" s="56">
        <f>'среднегодовая на 2025 под факт'!AU37+'инообластные на 2025 под факт'!AU37</f>
        <v>70197</v>
      </c>
      <c r="AV37" s="57">
        <f>'среднегодовая на 2025 под факт'!AV37+'инообластные на 2025 под факт'!AV37</f>
        <v>373281</v>
      </c>
      <c r="AW37" s="57">
        <f>'среднегодовая на 2025 под факт'!AW37+'инообластные на 2025 под факт'!AW37</f>
        <v>115052333</v>
      </c>
      <c r="AX37" s="57">
        <f>'среднегодовая на 2025 под факт'!AX37+'инообластные на 2025 под факт'!AX37</f>
        <v>1328</v>
      </c>
      <c r="AY37" s="57">
        <f>'среднегодовая на 2025 под факт'!AY37+'инообластные на 2025 под факт'!AY37</f>
        <v>39584</v>
      </c>
      <c r="AZ37" s="58">
        <f>'среднегодовая на 2025 под факт'!AZ37+'инообластные на 2025 под факт'!AZ37</f>
        <v>12199148</v>
      </c>
      <c r="BA37" s="59"/>
      <c r="BB37" s="58"/>
      <c r="BC37" s="191">
        <f t="shared" si="1"/>
        <v>127251481</v>
      </c>
    </row>
    <row r="38" spans="1:55" s="1" customFormat="1" x14ac:dyDescent="0.25">
      <c r="A38" s="282">
        <v>4</v>
      </c>
      <c r="B38" s="282">
        <v>790004</v>
      </c>
      <c r="C38" s="96" t="s">
        <v>13</v>
      </c>
      <c r="D38" s="73">
        <f>'среднегодовая на 2025 под факт'!D38+'инообластные на 2025 под факт'!D38</f>
        <v>282</v>
      </c>
      <c r="E38" s="30">
        <f>'среднегодовая на 2025 под факт'!E38+'инообластные на 2025 под факт'!E38</f>
        <v>184333</v>
      </c>
      <c r="F38" s="30">
        <f>'среднегодовая на 2025 под факт'!F38+'инообластные на 2025 под факт'!F38</f>
        <v>1</v>
      </c>
      <c r="G38" s="30">
        <f>'среднегодовая на 2025 под факт'!G38+'инообластные на 2025 под факт'!G38</f>
        <v>1284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>
        <f>'среднегодовая на 2025 под факт'!AJ38+'инообластные на 2025 под факт'!AJ38</f>
        <v>494</v>
      </c>
      <c r="AK38" s="30">
        <f>'среднегодовая на 2025 под факт'!AK38+'инообластные на 2025 под факт'!AK38</f>
        <v>704563</v>
      </c>
      <c r="AL38" s="30"/>
      <c r="AM38" s="30"/>
      <c r="AN38" s="49">
        <f t="shared" si="2"/>
        <v>890180</v>
      </c>
      <c r="AO38" s="39">
        <f>'среднегодовая на 2025 под факт'!AO38+'инообластные на 2025 под факт'!AO38</f>
        <v>2418</v>
      </c>
      <c r="AP38" s="31"/>
      <c r="AQ38" s="40">
        <f>'среднегодовая на 2025 под факт'!AQ38+'инообластные на 2025 под факт'!AQ38</f>
        <v>140299114</v>
      </c>
      <c r="AR38" s="39">
        <f>'среднегодовая на 2025 под факт'!AR38+'инообластные на 2025 под факт'!AR38</f>
        <v>104</v>
      </c>
      <c r="AS38" s="31"/>
      <c r="AT38" s="40">
        <f>'среднегодовая на 2025 под факт'!AT38+'инообластные на 2025 под факт'!AT38</f>
        <v>10742505</v>
      </c>
      <c r="AU38" s="39"/>
      <c r="AV38" s="31"/>
      <c r="AW38" s="31"/>
      <c r="AX38" s="31"/>
      <c r="AY38" s="31"/>
      <c r="AZ38" s="40"/>
      <c r="BA38" s="35"/>
      <c r="BB38" s="40"/>
      <c r="BC38" s="186">
        <f t="shared" si="1"/>
        <v>151931799</v>
      </c>
    </row>
    <row r="39" spans="1:55" s="1" customFormat="1" ht="31.5" x14ac:dyDescent="0.25">
      <c r="A39" s="283"/>
      <c r="B39" s="283"/>
      <c r="C39" s="185" t="s">
        <v>180</v>
      </c>
      <c r="D39" s="41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50">
        <f t="shared" si="2"/>
        <v>0</v>
      </c>
      <c r="AO39" s="43"/>
      <c r="AP39" s="27"/>
      <c r="AQ39" s="44">
        <f>'среднегодовая на 2025 под факт'!AQ39+'инообластные на 2025 под факт'!AQ39</f>
        <v>69755400</v>
      </c>
      <c r="AR39" s="43"/>
      <c r="AS39" s="27"/>
      <c r="AT39" s="44"/>
      <c r="AU39" s="43"/>
      <c r="AV39" s="27"/>
      <c r="AW39" s="27"/>
      <c r="AX39" s="27"/>
      <c r="AY39" s="27"/>
      <c r="AZ39" s="44"/>
      <c r="BA39" s="36"/>
      <c r="BB39" s="44"/>
      <c r="BC39" s="192">
        <f t="shared" si="1"/>
        <v>69755400</v>
      </c>
    </row>
    <row r="40" spans="1:55" s="1" customFormat="1" ht="16.5" thickBot="1" x14ac:dyDescent="0.3">
      <c r="A40" s="284"/>
      <c r="B40" s="284"/>
      <c r="C40" s="22" t="s">
        <v>91</v>
      </c>
      <c r="D40" s="54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>
        <f>'среднегодовая на 2025 под факт'!AL40+'инообластные на 2025 под факт'!AL40</f>
        <v>1596</v>
      </c>
      <c r="AM40" s="32">
        <f>'среднегодовая на 2025 под факт'!AM40+'инообластные на 2025 под факт'!AM40</f>
        <v>7296634</v>
      </c>
      <c r="AN40" s="51">
        <f t="shared" si="2"/>
        <v>7296634</v>
      </c>
      <c r="AO40" s="45"/>
      <c r="AP40" s="33"/>
      <c r="AQ40" s="46"/>
      <c r="AR40" s="45"/>
      <c r="AS40" s="33"/>
      <c r="AT40" s="46"/>
      <c r="AU40" s="45"/>
      <c r="AV40" s="33"/>
      <c r="AW40" s="33"/>
      <c r="AX40" s="33"/>
      <c r="AY40" s="33"/>
      <c r="AZ40" s="46"/>
      <c r="BA40" s="37"/>
      <c r="BB40" s="46"/>
      <c r="BC40" s="189">
        <f t="shared" si="1"/>
        <v>7296634</v>
      </c>
    </row>
    <row r="41" spans="1:55" s="1" customFormat="1" x14ac:dyDescent="0.25">
      <c r="A41" s="282">
        <v>5</v>
      </c>
      <c r="B41" s="282">
        <v>790005</v>
      </c>
      <c r="C41" s="96" t="s">
        <v>12</v>
      </c>
      <c r="D41" s="73">
        <f>'среднегодовая на 2025 под факт'!D41+'инообластные на 2025 под факт'!D41</f>
        <v>8795</v>
      </c>
      <c r="E41" s="30">
        <f>'среднегодовая на 2025 под факт'!E41+'инообластные на 2025 под факт'!E41</f>
        <v>8233616</v>
      </c>
      <c r="F41" s="30">
        <f>'среднегодовая на 2025 под факт'!F41+'инообластные на 2025 под факт'!F41</f>
        <v>5148</v>
      </c>
      <c r="G41" s="30">
        <f>'среднегодовая на 2025 под факт'!G41+'инообластные на 2025 под факт'!G41</f>
        <v>17607396</v>
      </c>
      <c r="H41" s="30">
        <f>'среднегодовая на 2025 под факт'!H41+'инообластные на 2025 под факт'!H41</f>
        <v>537</v>
      </c>
      <c r="I41" s="30">
        <f>'среднегодовая на 2025 под факт'!I41+'инообластные на 2025 под факт'!I41</f>
        <v>386165</v>
      </c>
      <c r="J41" s="30">
        <f>'среднегодовая на 2025 под факт'!J41+'инообластные на 2025 под факт'!J41</f>
        <v>140</v>
      </c>
      <c r="K41" s="30">
        <f>'среднегодовая на 2025 под факт'!K41+'инообластные на 2025 под факт'!K41</f>
        <v>313449</v>
      </c>
      <c r="L41" s="30">
        <f>'среднегодовая на 2025 под факт'!L41+'инообластные на 2025 под факт'!L41</f>
        <v>48</v>
      </c>
      <c r="M41" s="30">
        <f>'среднегодовая на 2025 под факт'!M41+'инообластные на 2025 под факт'!M41</f>
        <v>104881</v>
      </c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40">
        <f t="shared" si="2"/>
        <v>26645507</v>
      </c>
      <c r="AO41" s="47">
        <f>'среднегодовая на 2025 под факт'!AO41+'инообластные на 2025 под факт'!AO41</f>
        <v>534</v>
      </c>
      <c r="AP41" s="29"/>
      <c r="AQ41" s="48">
        <f>'среднегодовая на 2025 под факт'!AQ41+'инообластные на 2025 под факт'!AQ41</f>
        <v>42554682</v>
      </c>
      <c r="AR41" s="47">
        <f>'среднегодовая на 2025 под факт'!AR41+'инообластные на 2025 под факт'!AR41</f>
        <v>474</v>
      </c>
      <c r="AS41" s="29"/>
      <c r="AT41" s="48">
        <f>'среднегодовая на 2025 под факт'!AT41+'инообластные на 2025 под факт'!AT41</f>
        <v>11328867</v>
      </c>
      <c r="AU41" s="47"/>
      <c r="AV41" s="29"/>
      <c r="AW41" s="29"/>
      <c r="AX41" s="29"/>
      <c r="AY41" s="29"/>
      <c r="AZ41" s="48"/>
      <c r="BA41" s="38"/>
      <c r="BB41" s="48"/>
      <c r="BC41" s="192">
        <f t="shared" si="1"/>
        <v>80529056</v>
      </c>
    </row>
    <row r="42" spans="1:55" s="1" customFormat="1" ht="16.5" thickBot="1" x14ac:dyDescent="0.3">
      <c r="A42" s="284"/>
      <c r="B42" s="284"/>
      <c r="C42" s="22" t="s">
        <v>56</v>
      </c>
      <c r="D42" s="74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>
        <f>'среднегодовая на 2025 под факт'!AL42+'инообластные на 2025 под факт'!AL42</f>
        <v>2196</v>
      </c>
      <c r="AM42" s="61">
        <f>'среднегодовая на 2025 под факт'!AM42+'инообластные на 2025 под факт'!AM42</f>
        <v>1749232</v>
      </c>
      <c r="AN42" s="64">
        <f t="shared" si="2"/>
        <v>1749232</v>
      </c>
      <c r="AO42" s="62"/>
      <c r="AP42" s="63"/>
      <c r="AQ42" s="64"/>
      <c r="AR42" s="62"/>
      <c r="AS42" s="63"/>
      <c r="AT42" s="64"/>
      <c r="AU42" s="62"/>
      <c r="AV42" s="63"/>
      <c r="AW42" s="63"/>
      <c r="AX42" s="63"/>
      <c r="AY42" s="63"/>
      <c r="AZ42" s="64"/>
      <c r="BA42" s="65"/>
      <c r="BB42" s="64"/>
      <c r="BC42" s="190">
        <f t="shared" si="1"/>
        <v>1749232</v>
      </c>
    </row>
    <row r="43" spans="1:55" s="1" customFormat="1" x14ac:dyDescent="0.25">
      <c r="A43" s="282">
        <v>6</v>
      </c>
      <c r="B43" s="282">
        <v>790008</v>
      </c>
      <c r="C43" s="17" t="s">
        <v>20</v>
      </c>
      <c r="D43" s="73">
        <f>'среднегодовая на 2025 под факт'!D43+'инообластные на 2025 под факт'!D43</f>
        <v>36876</v>
      </c>
      <c r="E43" s="30">
        <f>'среднегодовая на 2025 под факт'!E43+'инообластные на 2025 под факт'!E43</f>
        <v>32704381</v>
      </c>
      <c r="F43" s="30">
        <f>'среднегодовая на 2025 под факт'!F43+'инообластные на 2025 под факт'!F43</f>
        <v>4005</v>
      </c>
      <c r="G43" s="30">
        <f>'среднегодовая на 2025 под факт'!G43+'инообластные на 2025 под факт'!G43</f>
        <v>17936096</v>
      </c>
      <c r="H43" s="30">
        <f>'среднегодовая на 2025 под факт'!H43+'инообластные на 2025 под факт'!H43</f>
        <v>3219</v>
      </c>
      <c r="I43" s="30">
        <f>'среднегодовая на 2025 под факт'!I43+'инообластные на 2025 под факт'!I43</f>
        <v>6604278</v>
      </c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>
        <f>'среднегодовая на 2025 под факт'!X43+'инообластные на 2025 под факт'!X43</f>
        <v>11727</v>
      </c>
      <c r="Y43" s="30">
        <f>'среднегодовая на 2025 под факт'!Y43+'инообластные на 2025 под факт'!Y43</f>
        <v>588</v>
      </c>
      <c r="Z43" s="30"/>
      <c r="AA43" s="30">
        <f>'среднегодовая на 2025 под факт'!AA43+'инообластные на 2025 под факт'!AA43</f>
        <v>36684009</v>
      </c>
      <c r="AB43" s="30">
        <f>'среднегодовая на 2025 под факт'!AB43+'инообластные на 2025 под факт'!AB43</f>
        <v>195</v>
      </c>
      <c r="AC43" s="30">
        <f>'среднегодовая на 2025 под факт'!AC43+'инообластные на 2025 под факт'!AC43</f>
        <v>1336944</v>
      </c>
      <c r="AD43" s="30"/>
      <c r="AE43" s="30"/>
      <c r="AF43" s="30">
        <f>'среднегодовая на 2025 под факт'!AF43+'инообластные на 2025 под факт'!AF43</f>
        <v>30</v>
      </c>
      <c r="AG43" s="30">
        <f>'среднегодовая на 2025 под факт'!AG43+'инообластные на 2025 под факт'!AG43</f>
        <v>55350</v>
      </c>
      <c r="AH43" s="30">
        <f>'среднегодовая на 2025 под факт'!AH43+'инообластные на 2025 под факт'!AH43</f>
        <v>1891</v>
      </c>
      <c r="AI43" s="30">
        <f>'среднегодовая на 2025 под факт'!AI43+'инообластные на 2025 под факт'!AI43</f>
        <v>6921251</v>
      </c>
      <c r="AJ43" s="30">
        <f>'среднегодовая на 2025 под факт'!AJ43+'инообластные на 2025 под факт'!AJ43</f>
        <v>1205</v>
      </c>
      <c r="AK43" s="30">
        <f>'среднегодовая на 2025 под факт'!AK43+'инообластные на 2025 под факт'!AK43</f>
        <v>1632692</v>
      </c>
      <c r="AL43" s="30"/>
      <c r="AM43" s="30"/>
      <c r="AN43" s="49">
        <f t="shared" si="2"/>
        <v>103875001</v>
      </c>
      <c r="AO43" s="39">
        <f>'среднегодовая на 2025 под факт'!AO43+'инообластные на 2025 под факт'!AO43</f>
        <v>1382</v>
      </c>
      <c r="AP43" s="31"/>
      <c r="AQ43" s="40">
        <f>'среднегодовая на 2025 под факт'!AQ43+'инообластные на 2025 под факт'!AQ43</f>
        <v>54487456</v>
      </c>
      <c r="AR43" s="39">
        <f>'среднегодовая на 2025 под факт'!AR43+'инообластные на 2025 под факт'!AR43</f>
        <v>31</v>
      </c>
      <c r="AS43" s="31"/>
      <c r="AT43" s="40">
        <f>'среднегодовая на 2025 под факт'!AT43+'инообластные на 2025 под факт'!AT43</f>
        <v>669055</v>
      </c>
      <c r="AU43" s="39">
        <f>'среднегодовая на 2025 под факт'!AU43+'инообластные на 2025 под факт'!AU43</f>
        <v>8635</v>
      </c>
      <c r="AV43" s="31">
        <f>'среднегодовая на 2025 под факт'!AV43+'инообластные на 2025 под факт'!AV43</f>
        <v>24194</v>
      </c>
      <c r="AW43" s="31">
        <f>'среднегодовая на 2025 под факт'!AW43+'инообластные на 2025 под факт'!AW43</f>
        <v>7083151</v>
      </c>
      <c r="AX43" s="31"/>
      <c r="AY43" s="31"/>
      <c r="AZ43" s="40"/>
      <c r="BA43" s="35"/>
      <c r="BB43" s="40"/>
      <c r="BC43" s="186">
        <f t="shared" si="1"/>
        <v>166114663</v>
      </c>
    </row>
    <row r="44" spans="1:55" s="1" customFormat="1" ht="31.5" x14ac:dyDescent="0.25">
      <c r="A44" s="283"/>
      <c r="B44" s="283"/>
      <c r="C44" s="18" t="s">
        <v>190</v>
      </c>
      <c r="D44" s="41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50">
        <f t="shared" si="2"/>
        <v>0</v>
      </c>
      <c r="AO44" s="43"/>
      <c r="AP44" s="27"/>
      <c r="AQ44" s="44"/>
      <c r="AR44" s="43"/>
      <c r="AS44" s="27"/>
      <c r="AT44" s="44"/>
      <c r="AU44" s="43"/>
      <c r="AV44" s="27"/>
      <c r="AW44" s="27"/>
      <c r="AX44" s="27"/>
      <c r="AY44" s="27"/>
      <c r="AZ44" s="44"/>
      <c r="BA44" s="36"/>
      <c r="BB44" s="44"/>
      <c r="BC44" s="188">
        <f t="shared" si="1"/>
        <v>0</v>
      </c>
    </row>
    <row r="45" spans="1:55" s="1" customFormat="1" x14ac:dyDescent="0.25">
      <c r="A45" s="283"/>
      <c r="B45" s="283"/>
      <c r="C45" s="19" t="s">
        <v>191</v>
      </c>
      <c r="D45" s="41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50">
        <f t="shared" si="2"/>
        <v>0</v>
      </c>
      <c r="AO45" s="43"/>
      <c r="AP45" s="27"/>
      <c r="AQ45" s="44"/>
      <c r="AR45" s="43"/>
      <c r="AS45" s="27"/>
      <c r="AT45" s="44"/>
      <c r="AU45" s="43"/>
      <c r="AV45" s="27"/>
      <c r="AW45" s="27"/>
      <c r="AX45" s="27"/>
      <c r="AY45" s="27"/>
      <c r="AZ45" s="44"/>
      <c r="BA45" s="36"/>
      <c r="BB45" s="44"/>
      <c r="BC45" s="192">
        <f t="shared" si="1"/>
        <v>0</v>
      </c>
    </row>
    <row r="46" spans="1:55" s="1" customFormat="1" x14ac:dyDescent="0.25">
      <c r="A46" s="283"/>
      <c r="B46" s="283"/>
      <c r="C46" s="19" t="s">
        <v>60</v>
      </c>
      <c r="D46" s="41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>
        <f>'среднегодовая на 2025 под факт'!AL46+'инообластные на 2025 под факт'!AL46</f>
        <v>573</v>
      </c>
      <c r="AM46" s="26">
        <f>'среднегодовая на 2025 под факт'!AM46+'инообластные на 2025 под факт'!AM46</f>
        <v>51473</v>
      </c>
      <c r="AN46" s="50">
        <f t="shared" si="2"/>
        <v>51473</v>
      </c>
      <c r="AO46" s="43"/>
      <c r="AP46" s="27"/>
      <c r="AQ46" s="44"/>
      <c r="AR46" s="43"/>
      <c r="AS46" s="27"/>
      <c r="AT46" s="44"/>
      <c r="AU46" s="43"/>
      <c r="AV46" s="27"/>
      <c r="AW46" s="27"/>
      <c r="AX46" s="27"/>
      <c r="AY46" s="27"/>
      <c r="AZ46" s="44"/>
      <c r="BA46" s="36"/>
      <c r="BB46" s="44"/>
      <c r="BC46" s="188">
        <f t="shared" si="1"/>
        <v>51473</v>
      </c>
    </row>
    <row r="47" spans="1:55" s="1" customFormat="1" x14ac:dyDescent="0.25">
      <c r="A47" s="283"/>
      <c r="B47" s="283"/>
      <c r="C47" s="18" t="s">
        <v>75</v>
      </c>
      <c r="D47" s="41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>
        <f>'среднегодовая на 2025 под факт'!AL47+'инообластные на 2025 под факт'!AL47</f>
        <v>248</v>
      </c>
      <c r="AM47" s="26">
        <f>'среднегодовая на 2025 под факт'!AM47+'инообластные на 2025 под факт'!AM47</f>
        <v>245532</v>
      </c>
      <c r="AN47" s="50">
        <f t="shared" si="2"/>
        <v>245532</v>
      </c>
      <c r="AO47" s="43"/>
      <c r="AP47" s="27"/>
      <c r="AQ47" s="44"/>
      <c r="AR47" s="43"/>
      <c r="AS47" s="27"/>
      <c r="AT47" s="44"/>
      <c r="AU47" s="43"/>
      <c r="AV47" s="27"/>
      <c r="AW47" s="27"/>
      <c r="AX47" s="27"/>
      <c r="AY47" s="27"/>
      <c r="AZ47" s="44"/>
      <c r="BA47" s="36"/>
      <c r="BB47" s="44"/>
      <c r="BC47" s="188">
        <f t="shared" si="1"/>
        <v>245532</v>
      </c>
    </row>
    <row r="48" spans="1:55" s="1" customFormat="1" ht="16.5" thickBot="1" x14ac:dyDescent="0.3">
      <c r="A48" s="284"/>
      <c r="B48" s="284"/>
      <c r="C48" s="22" t="s">
        <v>148</v>
      </c>
      <c r="D48" s="54"/>
      <c r="E48" s="32">
        <f>'среднегодовая на 2025 под факт'!E48+'инообластные на 2025 под факт'!E48</f>
        <v>890429</v>
      </c>
      <c r="F48" s="32"/>
      <c r="G48" s="32">
        <f>'среднегодовая на 2025 под факт'!G48+'инообластные на 2025 под факт'!G48</f>
        <v>496213</v>
      </c>
      <c r="H48" s="32"/>
      <c r="I48" s="32">
        <f>'среднегодовая на 2025 под факт'!I48+'инообластные на 2025 под факт'!I48</f>
        <v>182298</v>
      </c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51">
        <f t="shared" si="2"/>
        <v>1568940</v>
      </c>
      <c r="AO48" s="45"/>
      <c r="AP48" s="33"/>
      <c r="AQ48" s="46"/>
      <c r="AR48" s="45"/>
      <c r="AS48" s="33"/>
      <c r="AT48" s="46"/>
      <c r="AU48" s="45"/>
      <c r="AV48" s="33"/>
      <c r="AW48" s="33"/>
      <c r="AX48" s="33"/>
      <c r="AY48" s="33"/>
      <c r="AZ48" s="46"/>
      <c r="BA48" s="37"/>
      <c r="BB48" s="46"/>
      <c r="BC48" s="189">
        <f t="shared" si="1"/>
        <v>1568940</v>
      </c>
    </row>
    <row r="49" spans="1:55" s="1" customFormat="1" x14ac:dyDescent="0.25">
      <c r="A49" s="282">
        <v>7</v>
      </c>
      <c r="B49" s="282">
        <v>790009</v>
      </c>
      <c r="C49" s="97" t="s">
        <v>21</v>
      </c>
      <c r="D49" s="73">
        <f>'среднегодовая на 2025 под факт'!D49+'инообластные на 2025 под факт'!D49</f>
        <v>13155</v>
      </c>
      <c r="E49" s="30">
        <f>'среднегодовая на 2025 под факт'!E49+'инообластные на 2025 под факт'!E49</f>
        <v>19038629</v>
      </c>
      <c r="F49" s="30">
        <f>'среднегодовая на 2025 под факт'!F49+'инообластные на 2025 под факт'!F49</f>
        <v>2618</v>
      </c>
      <c r="G49" s="30">
        <f>'среднегодовая на 2025 под факт'!G49+'инообластные на 2025 под факт'!G49</f>
        <v>12908573</v>
      </c>
      <c r="H49" s="30">
        <f>'среднегодовая на 2025 под факт'!H49+'инообластные на 2025 под факт'!H49</f>
        <v>776</v>
      </c>
      <c r="I49" s="30">
        <f>'среднегодовая на 2025 под факт'!I49+'инообластные на 2025 под факт'!I49</f>
        <v>1607048</v>
      </c>
      <c r="J49" s="30">
        <f>'среднегодовая на 2025 под факт'!J49+'инообластные на 2025 под факт'!J49</f>
        <v>323</v>
      </c>
      <c r="K49" s="30">
        <f>'среднегодовая на 2025 под факт'!K49+'инообластные на 2025 под факт'!K49</f>
        <v>2211880</v>
      </c>
      <c r="L49" s="30">
        <f>'среднегодовая на 2025 под факт'!L49+'инообластные на 2025 под факт'!L49</f>
        <v>20</v>
      </c>
      <c r="M49" s="30">
        <f>'среднегодовая на 2025 под факт'!M49+'инообластные на 2025 под факт'!M49</f>
        <v>41516</v>
      </c>
      <c r="N49" s="30"/>
      <c r="O49" s="30"/>
      <c r="P49" s="30">
        <f>'среднегодовая на 2025 под факт'!P49+'инообластные на 2025 под факт'!P49</f>
        <v>63</v>
      </c>
      <c r="Q49" s="30">
        <f>'среднегодовая на 2025 под факт'!Q49+'инообластные на 2025 под факт'!Q49</f>
        <v>123763</v>
      </c>
      <c r="R49" s="30">
        <f>'среднегодовая на 2025 под факт'!R49+'инообластные на 2025 под факт'!R49</f>
        <v>57</v>
      </c>
      <c r="S49" s="30">
        <f>'среднегодовая на 2025 под факт'!S49+'инообластные на 2025 под факт'!S49</f>
        <v>249211</v>
      </c>
      <c r="T49" s="30"/>
      <c r="U49" s="30"/>
      <c r="V49" s="30"/>
      <c r="W49" s="30"/>
      <c r="X49" s="30">
        <f>'среднегодовая на 2025 под факт'!X49+'инообластные на 2025 под факт'!X49</f>
        <v>5286</v>
      </c>
      <c r="Y49" s="30">
        <f>'среднегодовая на 2025 под факт'!Y49+'инообластные на 2025 под факт'!Y49</f>
        <v>1331</v>
      </c>
      <c r="Z49" s="30"/>
      <c r="AA49" s="30">
        <f>'среднегодовая на 2025 под факт'!AA49+'инообластные на 2025 под факт'!AA49</f>
        <v>21710169</v>
      </c>
      <c r="AB49" s="30">
        <f>'среднегодовая на 2025 под факт'!AB49+'инообластные на 2025 под факт'!AB49</f>
        <v>1234</v>
      </c>
      <c r="AC49" s="30">
        <f>'среднегодовая на 2025 под факт'!AC49+'инообластные на 2025 под факт'!AC49</f>
        <v>6396584</v>
      </c>
      <c r="AD49" s="30"/>
      <c r="AE49" s="30"/>
      <c r="AF49" s="30">
        <f>'среднегодовая на 2025 под факт'!AF49+'инообластные на 2025 под факт'!AF49</f>
        <v>323</v>
      </c>
      <c r="AG49" s="30">
        <f>'среднегодовая на 2025 под факт'!AG49+'инообластные на 2025 под факт'!AG49</f>
        <v>552605</v>
      </c>
      <c r="AH49" s="30">
        <f>'среднегодовая на 2025 под факт'!AH49+'инообластные на 2025 под факт'!AH49</f>
        <v>1404</v>
      </c>
      <c r="AI49" s="30">
        <f>'среднегодовая на 2025 под факт'!AI49+'инообластные на 2025 под факт'!AI49</f>
        <v>4833224</v>
      </c>
      <c r="AJ49" s="30">
        <f>'среднегодовая на 2025 под факт'!AJ49+'инообластные на 2025 под факт'!AJ49</f>
        <v>810</v>
      </c>
      <c r="AK49" s="30">
        <f>'среднегодовая на 2025 под факт'!AK49+'инообластные на 2025 под факт'!AK49</f>
        <v>1097495</v>
      </c>
      <c r="AL49" s="30"/>
      <c r="AM49" s="30"/>
      <c r="AN49" s="49">
        <f t="shared" si="2"/>
        <v>70770697</v>
      </c>
      <c r="AO49" s="39">
        <f>'среднегодовая на 2025 под факт'!AO49+'инообластные на 2025 под факт'!AO49</f>
        <v>1571</v>
      </c>
      <c r="AP49" s="31"/>
      <c r="AQ49" s="40">
        <f>'среднегодовая на 2025 под факт'!AQ49+'инообластные на 2025 под факт'!AQ49</f>
        <v>59284527</v>
      </c>
      <c r="AR49" s="39"/>
      <c r="AS49" s="31"/>
      <c r="AT49" s="40"/>
      <c r="AU49" s="39">
        <f>'среднегодовая на 2025 под факт'!AU49+'инообластные на 2025 под факт'!AU49</f>
        <v>1675</v>
      </c>
      <c r="AV49" s="31">
        <f>'среднегодовая на 2025 под факт'!AV49+'инообластные на 2025 под факт'!AV49</f>
        <v>8158</v>
      </c>
      <c r="AW49" s="31">
        <f>'среднегодовая на 2025 под факт'!AW49+'инообластные на 2025 под факт'!AW49</f>
        <v>2388168</v>
      </c>
      <c r="AX49" s="31"/>
      <c r="AY49" s="31"/>
      <c r="AZ49" s="40"/>
      <c r="BA49" s="35"/>
      <c r="BB49" s="40"/>
      <c r="BC49" s="186">
        <f t="shared" si="1"/>
        <v>132443392</v>
      </c>
    </row>
    <row r="50" spans="1:55" s="1" customFormat="1" ht="31.5" x14ac:dyDescent="0.25">
      <c r="A50" s="283"/>
      <c r="B50" s="283"/>
      <c r="C50" s="18" t="s">
        <v>190</v>
      </c>
      <c r="D50" s="4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50">
        <f t="shared" si="2"/>
        <v>0</v>
      </c>
      <c r="AO50" s="43"/>
      <c r="AP50" s="27"/>
      <c r="AQ50" s="44"/>
      <c r="AR50" s="43"/>
      <c r="AS50" s="27"/>
      <c r="AT50" s="44"/>
      <c r="AU50" s="43"/>
      <c r="AV50" s="27"/>
      <c r="AW50" s="27"/>
      <c r="AX50" s="27"/>
      <c r="AY50" s="27"/>
      <c r="AZ50" s="44"/>
      <c r="BA50" s="36"/>
      <c r="BB50" s="44"/>
      <c r="BC50" s="192">
        <f t="shared" si="1"/>
        <v>0</v>
      </c>
    </row>
    <row r="51" spans="1:55" s="1" customFormat="1" x14ac:dyDescent="0.25">
      <c r="A51" s="283"/>
      <c r="B51" s="283"/>
      <c r="C51" s="19" t="s">
        <v>191</v>
      </c>
      <c r="D51" s="4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50">
        <f t="shared" si="2"/>
        <v>0</v>
      </c>
      <c r="AO51" s="43"/>
      <c r="AP51" s="27"/>
      <c r="AQ51" s="44"/>
      <c r="AR51" s="43"/>
      <c r="AS51" s="27"/>
      <c r="AT51" s="44"/>
      <c r="AU51" s="43"/>
      <c r="AV51" s="27"/>
      <c r="AW51" s="27"/>
      <c r="AX51" s="27"/>
      <c r="AY51" s="27"/>
      <c r="AZ51" s="44"/>
      <c r="BA51" s="36"/>
      <c r="BB51" s="44"/>
      <c r="BC51" s="192">
        <f t="shared" si="1"/>
        <v>0</v>
      </c>
    </row>
    <row r="52" spans="1:55" s="1" customFormat="1" x14ac:dyDescent="0.25">
      <c r="A52" s="283"/>
      <c r="B52" s="283"/>
      <c r="C52" s="19" t="s">
        <v>60</v>
      </c>
      <c r="D52" s="4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>
        <f>'среднегодовая на 2025 под факт'!AL52+'инообластные на 2025 под факт'!AL52</f>
        <v>1886</v>
      </c>
      <c r="AM52" s="26">
        <f>'среднегодовая на 2025 под факт'!AM52+'инообластные на 2025 под факт'!AM52</f>
        <v>200299</v>
      </c>
      <c r="AN52" s="50">
        <f t="shared" si="2"/>
        <v>200299</v>
      </c>
      <c r="AO52" s="43"/>
      <c r="AP52" s="27"/>
      <c r="AQ52" s="44"/>
      <c r="AR52" s="43"/>
      <c r="AS52" s="27"/>
      <c r="AT52" s="44"/>
      <c r="AU52" s="43"/>
      <c r="AV52" s="27"/>
      <c r="AW52" s="27"/>
      <c r="AX52" s="27"/>
      <c r="AY52" s="27"/>
      <c r="AZ52" s="44"/>
      <c r="BA52" s="36"/>
      <c r="BB52" s="44"/>
      <c r="BC52" s="188">
        <f t="shared" si="1"/>
        <v>200299</v>
      </c>
    </row>
    <row r="53" spans="1:55" s="1" customFormat="1" x14ac:dyDescent="0.25">
      <c r="A53" s="283"/>
      <c r="B53" s="283"/>
      <c r="C53" s="19" t="s">
        <v>56</v>
      </c>
      <c r="D53" s="4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>
        <f>'среднегодовая на 2025 под факт'!AL53+'инообластные на 2025 под факт'!AL53</f>
        <v>82</v>
      </c>
      <c r="AM53" s="26">
        <f>'среднегодовая на 2025 под факт'!AM53+'инообластные на 2025 под факт'!AM53</f>
        <v>68313</v>
      </c>
      <c r="AN53" s="50">
        <f t="shared" si="2"/>
        <v>68313</v>
      </c>
      <c r="AO53" s="43"/>
      <c r="AP53" s="27"/>
      <c r="AQ53" s="44"/>
      <c r="AR53" s="43"/>
      <c r="AS53" s="27"/>
      <c r="AT53" s="44"/>
      <c r="AU53" s="43"/>
      <c r="AV53" s="27"/>
      <c r="AW53" s="27"/>
      <c r="AX53" s="27"/>
      <c r="AY53" s="27"/>
      <c r="AZ53" s="44"/>
      <c r="BA53" s="36"/>
      <c r="BB53" s="44"/>
      <c r="BC53" s="188">
        <f t="shared" si="1"/>
        <v>68313</v>
      </c>
    </row>
    <row r="54" spans="1:55" s="1" customFormat="1" ht="31.5" x14ac:dyDescent="0.25">
      <c r="A54" s="283"/>
      <c r="B54" s="283"/>
      <c r="C54" s="18" t="s">
        <v>180</v>
      </c>
      <c r="D54" s="4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50">
        <f t="shared" si="2"/>
        <v>0</v>
      </c>
      <c r="AO54" s="43"/>
      <c r="AP54" s="27"/>
      <c r="AQ54" s="44">
        <f>'среднегодовая на 2025 под факт'!AQ54+'инообластные на 2025 под факт'!AQ54</f>
        <v>7995000</v>
      </c>
      <c r="AR54" s="43"/>
      <c r="AS54" s="27"/>
      <c r="AT54" s="44"/>
      <c r="AU54" s="43"/>
      <c r="AV54" s="27"/>
      <c r="AW54" s="27"/>
      <c r="AX54" s="27"/>
      <c r="AY54" s="27"/>
      <c r="AZ54" s="44"/>
      <c r="BA54" s="36"/>
      <c r="BB54" s="44"/>
      <c r="BC54" s="188">
        <f t="shared" si="1"/>
        <v>7995000</v>
      </c>
    </row>
    <row r="55" spans="1:55" s="1" customFormat="1" ht="16.5" thickBot="1" x14ac:dyDescent="0.3">
      <c r="A55" s="284"/>
      <c r="B55" s="284"/>
      <c r="C55" s="21" t="s">
        <v>148</v>
      </c>
      <c r="D55" s="54"/>
      <c r="E55" s="32">
        <f>'среднегодовая на 2025 под факт'!E55+'инообластные на 2025 под факт'!E55</f>
        <v>757636.77000156743</v>
      </c>
      <c r="F55" s="32"/>
      <c r="G55" s="32">
        <f>'среднегодовая на 2025 под факт'!G55+'инообластные на 2025 под факт'!G55</f>
        <v>516572.55476145353</v>
      </c>
      <c r="H55" s="32"/>
      <c r="I55" s="32">
        <f>'среднегодовая на 2025 под факт'!I55+'инообластные на 2025 под факт'!I55</f>
        <v>64557.869379368101</v>
      </c>
      <c r="J55" s="32"/>
      <c r="K55" s="32">
        <f>'среднегодовая на 2025 под факт'!K55+'инообластные на 2025 под факт'!K55</f>
        <v>89069.805857610962</v>
      </c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51">
        <f t="shared" si="2"/>
        <v>1427837</v>
      </c>
      <c r="AO55" s="45"/>
      <c r="AP55" s="33"/>
      <c r="AQ55" s="46"/>
      <c r="AR55" s="45"/>
      <c r="AS55" s="33"/>
      <c r="AT55" s="46"/>
      <c r="AU55" s="45"/>
      <c r="AV55" s="33"/>
      <c r="AW55" s="33"/>
      <c r="AX55" s="33"/>
      <c r="AY55" s="33"/>
      <c r="AZ55" s="46"/>
      <c r="BA55" s="37"/>
      <c r="BB55" s="46"/>
      <c r="BC55" s="189">
        <f t="shared" si="1"/>
        <v>1427837</v>
      </c>
    </row>
    <row r="56" spans="1:55" s="1" customFormat="1" x14ac:dyDescent="0.25">
      <c r="A56" s="282">
        <v>8</v>
      </c>
      <c r="B56" s="282">
        <v>790010</v>
      </c>
      <c r="C56" s="17" t="s">
        <v>17</v>
      </c>
      <c r="D56" s="73">
        <f>'среднегодовая на 2025 под факт'!D56+'инообластные на 2025 под факт'!D56</f>
        <v>27236</v>
      </c>
      <c r="E56" s="30">
        <f>'среднегодовая на 2025 под факт'!E56+'инообластные на 2025 под факт'!E56</f>
        <v>40648216</v>
      </c>
      <c r="F56" s="30">
        <f>'среднегодовая на 2025 под факт'!F56+'инообластные на 2025 под факт'!F56</f>
        <v>6907</v>
      </c>
      <c r="G56" s="30">
        <f>'среднегодовая на 2025 под факт'!G56+'инообластные на 2025 под факт'!G56</f>
        <v>20880594</v>
      </c>
      <c r="H56" s="30">
        <f>'среднегодовая на 2025 под факт'!H56+'инообластные на 2025 под факт'!H56</f>
        <v>1558</v>
      </c>
      <c r="I56" s="30">
        <f>'среднегодовая на 2025 под факт'!I56+'инообластные на 2025 под факт'!I56</f>
        <v>5846755</v>
      </c>
      <c r="J56" s="30">
        <f>'среднегодовая на 2025 под факт'!J56+'инообластные на 2025 под факт'!J56</f>
        <v>372</v>
      </c>
      <c r="K56" s="30">
        <f>'среднегодовая на 2025 под факт'!K56+'инообластные на 2025 под факт'!K56</f>
        <v>2169758</v>
      </c>
      <c r="L56" s="30">
        <f>'среднегодовая на 2025 под факт'!L56+'инообластные на 2025 под факт'!L56</f>
        <v>11</v>
      </c>
      <c r="M56" s="30">
        <f>'среднегодовая на 2025 под факт'!M56+'инообластные на 2025 под факт'!M56</f>
        <v>22834</v>
      </c>
      <c r="N56" s="30"/>
      <c r="O56" s="30"/>
      <c r="P56" s="30">
        <f>'среднегодовая на 2025 под факт'!P56+'инообластные на 2025 под факт'!P56</f>
        <v>27</v>
      </c>
      <c r="Q56" s="30">
        <f>'среднегодовая на 2025 под факт'!Q56+'инообластные на 2025 под факт'!Q56</f>
        <v>53042</v>
      </c>
      <c r="R56" s="30">
        <f>'среднегодовая на 2025 под факт'!R56+'инообластные на 2025 под факт'!R56</f>
        <v>48</v>
      </c>
      <c r="S56" s="30">
        <f>'среднегодовая на 2025 под факт'!S56+'инообластные на 2025 под факт'!S56</f>
        <v>209863</v>
      </c>
      <c r="T56" s="30"/>
      <c r="U56" s="30"/>
      <c r="V56" s="30"/>
      <c r="W56" s="30"/>
      <c r="X56" s="30">
        <f>'среднегодовая на 2025 под факт'!X56+'инообластные на 2025 под факт'!X56</f>
        <v>4039</v>
      </c>
      <c r="Y56" s="30">
        <f>'среднегодовая на 2025 под факт'!Y56+'инообластные на 2025 под факт'!Y56</f>
        <v>1190</v>
      </c>
      <c r="Z56" s="30">
        <f>'среднегодовая на 2025 под факт'!Z56+'инообластные на 2025 под факт'!Z56</f>
        <v>427</v>
      </c>
      <c r="AA56" s="30">
        <f>'среднегодовая на 2025 под факт'!AA56+'инообластные на 2025 под факт'!AA56</f>
        <v>8775058</v>
      </c>
      <c r="AB56" s="30">
        <f>'среднегодовая на 2025 под факт'!AB56+'инообластные на 2025 под факт'!AB56</f>
        <v>715</v>
      </c>
      <c r="AC56" s="30">
        <f>'среднегодовая на 2025 под факт'!AC56+'инообластные на 2025 под факт'!AC56</f>
        <v>3756099</v>
      </c>
      <c r="AD56" s="30">
        <f>'среднегодовая на 2025 под факт'!AD56+'инообластные на 2025 под факт'!AD56</f>
        <v>22</v>
      </c>
      <c r="AE56" s="30">
        <f>'среднегодовая на 2025 под факт'!AE56+'инообластные на 2025 под факт'!AE56</f>
        <v>39381</v>
      </c>
      <c r="AF56" s="30">
        <f>'среднегодовая на 2025 под факт'!AF56+'инообластные на 2025 под факт'!AF56</f>
        <v>645</v>
      </c>
      <c r="AG56" s="30">
        <f>'среднегодовая на 2025 под факт'!AG56+'инообластные на 2025 под факт'!AG56</f>
        <v>400866</v>
      </c>
      <c r="AH56" s="30">
        <f>'среднегодовая на 2025 под факт'!AH56+'инообластные на 2025 под факт'!AH56</f>
        <v>2708</v>
      </c>
      <c r="AI56" s="30">
        <f>'среднегодовая на 2025 под факт'!AI56+'инообластные на 2025 под факт'!AI56</f>
        <v>9319590</v>
      </c>
      <c r="AJ56" s="30">
        <f>'среднегодовая на 2025 под факт'!AJ56+'инообластные на 2025 под факт'!AJ56</f>
        <v>7803</v>
      </c>
      <c r="AK56" s="30">
        <f>'среднегодовая на 2025 под факт'!AK56+'инообластные на 2025 под факт'!AK56</f>
        <v>10572520</v>
      </c>
      <c r="AL56" s="30"/>
      <c r="AM56" s="30"/>
      <c r="AN56" s="49">
        <f t="shared" si="2"/>
        <v>102694576</v>
      </c>
      <c r="AO56" s="39">
        <f>'среднегодовая на 2025 под факт'!AO56+'инообластные на 2025 под факт'!AO56</f>
        <v>579</v>
      </c>
      <c r="AP56" s="31"/>
      <c r="AQ56" s="40">
        <f>'среднегодовая на 2025 под факт'!AQ56+'инообластные на 2025 под факт'!AQ56</f>
        <v>23271513</v>
      </c>
      <c r="AR56" s="39">
        <f>'среднегодовая на 2025 под факт'!AR56+'инообластные на 2025 под факт'!AR56</f>
        <v>517</v>
      </c>
      <c r="AS56" s="31"/>
      <c r="AT56" s="40">
        <f>'среднегодовая на 2025 под факт'!AT56+'инообластные на 2025 под факт'!AT56</f>
        <v>4380433</v>
      </c>
      <c r="AU56" s="39">
        <f>'среднегодовая на 2025 под факт'!AU56+'инообластные на 2025 под факт'!AU56</f>
        <v>5217</v>
      </c>
      <c r="AV56" s="31">
        <f>'среднегодовая на 2025 под факт'!AV56+'инообластные на 2025 под факт'!AV56</f>
        <v>21413</v>
      </c>
      <c r="AW56" s="31">
        <f>'среднегодовая на 2025 под факт'!AW56+'инообластные на 2025 под факт'!AW56</f>
        <v>6268969</v>
      </c>
      <c r="AX56" s="31"/>
      <c r="AY56" s="31"/>
      <c r="AZ56" s="40"/>
      <c r="BA56" s="35"/>
      <c r="BB56" s="40"/>
      <c r="BC56" s="186">
        <f t="shared" si="1"/>
        <v>136615491</v>
      </c>
    </row>
    <row r="57" spans="1:55" s="1" customFormat="1" ht="31.5" x14ac:dyDescent="0.25">
      <c r="A57" s="283"/>
      <c r="B57" s="283"/>
      <c r="C57" s="18" t="s">
        <v>190</v>
      </c>
      <c r="D57" s="4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50">
        <f t="shared" si="2"/>
        <v>0</v>
      </c>
      <c r="AO57" s="43"/>
      <c r="AP57" s="27"/>
      <c r="AQ57" s="44"/>
      <c r="AR57" s="43"/>
      <c r="AS57" s="27"/>
      <c r="AT57" s="44"/>
      <c r="AU57" s="43"/>
      <c r="AV57" s="27"/>
      <c r="AW57" s="27"/>
      <c r="AX57" s="27"/>
      <c r="AY57" s="27"/>
      <c r="AZ57" s="44"/>
      <c r="BA57" s="36"/>
      <c r="BB57" s="44"/>
      <c r="BC57" s="188">
        <f t="shared" si="1"/>
        <v>0</v>
      </c>
    </row>
    <row r="58" spans="1:55" s="1" customFormat="1" x14ac:dyDescent="0.25">
      <c r="A58" s="283"/>
      <c r="B58" s="283"/>
      <c r="C58" s="19" t="s">
        <v>191</v>
      </c>
      <c r="D58" s="41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50">
        <f t="shared" si="2"/>
        <v>0</v>
      </c>
      <c r="AO58" s="43"/>
      <c r="AP58" s="27"/>
      <c r="AQ58" s="44"/>
      <c r="AR58" s="43"/>
      <c r="AS58" s="27"/>
      <c r="AT58" s="44"/>
      <c r="AU58" s="43"/>
      <c r="AV58" s="27"/>
      <c r="AW58" s="27"/>
      <c r="AX58" s="27"/>
      <c r="AY58" s="27"/>
      <c r="AZ58" s="44"/>
      <c r="BA58" s="36"/>
      <c r="BB58" s="44"/>
      <c r="BC58" s="192">
        <f t="shared" si="1"/>
        <v>0</v>
      </c>
    </row>
    <row r="59" spans="1:55" s="1" customFormat="1" x14ac:dyDescent="0.25">
      <c r="A59" s="283"/>
      <c r="B59" s="283"/>
      <c r="C59" s="19" t="s">
        <v>60</v>
      </c>
      <c r="D59" s="41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>
        <f>'среднегодовая на 2025 под факт'!AL59+'инообластные на 2025 под факт'!AL59</f>
        <v>1051</v>
      </c>
      <c r="AM59" s="26">
        <f>'среднегодовая на 2025 под факт'!AM59+'инообластные на 2025 под факт'!AM59</f>
        <v>175014</v>
      </c>
      <c r="AN59" s="50">
        <f t="shared" si="2"/>
        <v>175014</v>
      </c>
      <c r="AO59" s="43"/>
      <c r="AP59" s="27"/>
      <c r="AQ59" s="44"/>
      <c r="AR59" s="43"/>
      <c r="AS59" s="27"/>
      <c r="AT59" s="44"/>
      <c r="AU59" s="43"/>
      <c r="AV59" s="27"/>
      <c r="AW59" s="27"/>
      <c r="AX59" s="27"/>
      <c r="AY59" s="27"/>
      <c r="AZ59" s="44"/>
      <c r="BA59" s="36"/>
      <c r="BB59" s="44"/>
      <c r="BC59" s="188">
        <f t="shared" si="1"/>
        <v>175014</v>
      </c>
    </row>
    <row r="60" spans="1:55" s="1" customFormat="1" x14ac:dyDescent="0.25">
      <c r="A60" s="283"/>
      <c r="B60" s="283"/>
      <c r="C60" s="18" t="s">
        <v>74</v>
      </c>
      <c r="D60" s="41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>
        <f>'среднегодовая на 2025 под факт'!AL60+'инообластные на 2025 под факт'!AL60</f>
        <v>99</v>
      </c>
      <c r="AM60" s="26">
        <f>'среднегодовая на 2025 под факт'!AM60+'инообластные на 2025 под факт'!AM60</f>
        <v>122357</v>
      </c>
      <c r="AN60" s="50">
        <f t="shared" si="2"/>
        <v>122357</v>
      </c>
      <c r="AO60" s="43"/>
      <c r="AP60" s="27"/>
      <c r="AQ60" s="44"/>
      <c r="AR60" s="43"/>
      <c r="AS60" s="27"/>
      <c r="AT60" s="44"/>
      <c r="AU60" s="43"/>
      <c r="AV60" s="27"/>
      <c r="AW60" s="27"/>
      <c r="AX60" s="27"/>
      <c r="AY60" s="27"/>
      <c r="AZ60" s="44"/>
      <c r="BA60" s="36"/>
      <c r="BB60" s="44"/>
      <c r="BC60" s="188">
        <f t="shared" si="1"/>
        <v>122357</v>
      </c>
    </row>
    <row r="61" spans="1:55" s="1" customFormat="1" x14ac:dyDescent="0.25">
      <c r="A61" s="283"/>
      <c r="B61" s="283"/>
      <c r="C61" s="18" t="s">
        <v>75</v>
      </c>
      <c r="D61" s="4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>
        <f>'среднегодовая на 2025 под факт'!AL61+'инообластные на 2025 под факт'!AL61</f>
        <v>466</v>
      </c>
      <c r="AM61" s="26">
        <f>'среднегодовая на 2025 под факт'!AM61+'инообластные на 2025 под факт'!AM61</f>
        <v>496612</v>
      </c>
      <c r="AN61" s="50">
        <f t="shared" si="2"/>
        <v>496612</v>
      </c>
      <c r="AO61" s="43"/>
      <c r="AP61" s="27"/>
      <c r="AQ61" s="44"/>
      <c r="AR61" s="43"/>
      <c r="AS61" s="27"/>
      <c r="AT61" s="44"/>
      <c r="AU61" s="43"/>
      <c r="AV61" s="27"/>
      <c r="AW61" s="27"/>
      <c r="AX61" s="27"/>
      <c r="AY61" s="27"/>
      <c r="AZ61" s="44"/>
      <c r="BA61" s="36"/>
      <c r="BB61" s="44"/>
      <c r="BC61" s="188">
        <f t="shared" si="1"/>
        <v>496612</v>
      </c>
    </row>
    <row r="62" spans="1:55" s="1" customFormat="1" x14ac:dyDescent="0.25">
      <c r="A62" s="283"/>
      <c r="B62" s="283"/>
      <c r="C62" s="18" t="s">
        <v>56</v>
      </c>
      <c r="D62" s="4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>
        <f>'среднегодовая на 2025 под факт'!AL62+'инообластные на 2025 под факт'!AL62</f>
        <v>17</v>
      </c>
      <c r="AM62" s="26">
        <f>'среднегодовая на 2025 под факт'!AM62+'инообластные на 2025 под факт'!AM62</f>
        <v>8860</v>
      </c>
      <c r="AN62" s="50">
        <f t="shared" si="2"/>
        <v>8860</v>
      </c>
      <c r="AO62" s="43"/>
      <c r="AP62" s="27"/>
      <c r="AQ62" s="44"/>
      <c r="AR62" s="43"/>
      <c r="AS62" s="27"/>
      <c r="AT62" s="44"/>
      <c r="AU62" s="43"/>
      <c r="AV62" s="27"/>
      <c r="AW62" s="27"/>
      <c r="AX62" s="27"/>
      <c r="AY62" s="27"/>
      <c r="AZ62" s="44"/>
      <c r="BA62" s="36"/>
      <c r="BB62" s="44"/>
      <c r="BC62" s="188">
        <f t="shared" si="1"/>
        <v>8860</v>
      </c>
    </row>
    <row r="63" spans="1:55" s="1" customFormat="1" ht="31.5" x14ac:dyDescent="0.25">
      <c r="A63" s="283"/>
      <c r="B63" s="283"/>
      <c r="C63" s="18" t="s">
        <v>180</v>
      </c>
      <c r="D63" s="4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50">
        <f t="shared" si="2"/>
        <v>0</v>
      </c>
      <c r="AO63" s="43"/>
      <c r="AP63" s="27"/>
      <c r="AQ63" s="44">
        <f>'среднегодовая на 2025 под факт'!AQ63+'инообластные на 2025 под факт'!AQ63</f>
        <v>15696900</v>
      </c>
      <c r="AR63" s="43"/>
      <c r="AS63" s="27"/>
      <c r="AT63" s="44"/>
      <c r="AU63" s="43"/>
      <c r="AV63" s="27"/>
      <c r="AW63" s="27"/>
      <c r="AX63" s="27"/>
      <c r="AY63" s="27"/>
      <c r="AZ63" s="44"/>
      <c r="BA63" s="36"/>
      <c r="BB63" s="44"/>
      <c r="BC63" s="188">
        <f t="shared" si="1"/>
        <v>15696900</v>
      </c>
    </row>
    <row r="64" spans="1:55" s="1" customFormat="1" ht="16.5" thickBot="1" x14ac:dyDescent="0.3">
      <c r="A64" s="284"/>
      <c r="B64" s="284"/>
      <c r="C64" s="22" t="s">
        <v>148</v>
      </c>
      <c r="D64" s="54"/>
      <c r="E64" s="32">
        <f>'среднегодовая на 2025 под факт'!E64+'инообластные на 2025 под факт'!E64</f>
        <v>1033678</v>
      </c>
      <c r="F64" s="32"/>
      <c r="G64" s="32">
        <f>'среднегодовая на 2025 под факт'!G64+'инообластные на 2025 под факт'!G64</f>
        <v>528482</v>
      </c>
      <c r="H64" s="32"/>
      <c r="I64" s="32">
        <f>'среднегодовая на 2025 под факт'!I64+'инообластные на 2025 под факт'!I64</f>
        <v>149864</v>
      </c>
      <c r="J64" s="32"/>
      <c r="K64" s="32">
        <f>'среднегодовая на 2025 под факт'!K64+'инообластные на 2025 под факт'!K64</f>
        <v>55416</v>
      </c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51">
        <f t="shared" si="2"/>
        <v>1767440</v>
      </c>
      <c r="AO64" s="45"/>
      <c r="AP64" s="33"/>
      <c r="AQ64" s="46"/>
      <c r="AR64" s="45"/>
      <c r="AS64" s="33"/>
      <c r="AT64" s="46"/>
      <c r="AU64" s="45"/>
      <c r="AV64" s="33"/>
      <c r="AW64" s="33"/>
      <c r="AX64" s="33"/>
      <c r="AY64" s="33"/>
      <c r="AZ64" s="46"/>
      <c r="BA64" s="37"/>
      <c r="BB64" s="46"/>
      <c r="BC64" s="189">
        <f t="shared" si="1"/>
        <v>1767440</v>
      </c>
    </row>
    <row r="65" spans="1:55" s="1" customFormat="1" x14ac:dyDescent="0.25">
      <c r="A65" s="282">
        <v>9</v>
      </c>
      <c r="B65" s="282">
        <v>790011</v>
      </c>
      <c r="C65" s="97" t="s">
        <v>18</v>
      </c>
      <c r="D65" s="73">
        <f>'среднегодовая на 2025 под факт'!D65+'инообластные на 2025 под факт'!D65</f>
        <v>57007</v>
      </c>
      <c r="E65" s="30">
        <f>'среднегодовая на 2025 под факт'!E65+'инообластные на 2025 под факт'!E65</f>
        <v>35828396</v>
      </c>
      <c r="F65" s="30">
        <f>'среднегодовая на 2025 под факт'!F65+'инообластные на 2025 под факт'!F65</f>
        <v>10079</v>
      </c>
      <c r="G65" s="30">
        <f>'среднегодовая на 2025 под факт'!G65+'инообластные на 2025 под факт'!G65</f>
        <v>19360828</v>
      </c>
      <c r="H65" s="30">
        <f>'среднегодовая на 2025 под факт'!H65+'инообластные на 2025 под факт'!H65</f>
        <v>3654</v>
      </c>
      <c r="I65" s="30">
        <f>'среднегодовая на 2025 под факт'!I65+'инообластные на 2025 под факт'!I65</f>
        <v>6189102</v>
      </c>
      <c r="J65" s="30">
        <f>'среднегодовая на 2025 под факт'!J65+'инообластные на 2025 под факт'!J65</f>
        <v>13</v>
      </c>
      <c r="K65" s="30">
        <f>'среднегодовая на 2025 под факт'!K65+'инообластные на 2025 под факт'!K65</f>
        <v>138594</v>
      </c>
      <c r="L65" s="30">
        <f>'среднегодовая на 2025 под факт'!L65+'инообластные на 2025 под факт'!L65</f>
        <v>55</v>
      </c>
      <c r="M65" s="30">
        <f>'среднегодовая на 2025 под факт'!M65+'инообластные на 2025 под факт'!M65</f>
        <v>114168</v>
      </c>
      <c r="N65" s="30"/>
      <c r="O65" s="30"/>
      <c r="P65" s="30">
        <f>'среднегодовая на 2025 под факт'!P65+'инообластные на 2025 под факт'!P65</f>
        <v>277</v>
      </c>
      <c r="Q65" s="30">
        <f>'среднегодовая на 2025 под факт'!Q65+'инообластные на 2025 под факт'!Q65</f>
        <v>541808</v>
      </c>
      <c r="R65" s="30">
        <f>'среднегодовая на 2025 под факт'!R65+'инообластные на 2025 под факт'!R65</f>
        <v>374</v>
      </c>
      <c r="S65" s="30">
        <f>'среднегодовая на 2025 под факт'!S65+'инообластные на 2025 под факт'!S65</f>
        <v>1635173</v>
      </c>
      <c r="T65" s="30">
        <f>'среднегодовая на 2025 под факт'!T65+'инообластные на 2025 под факт'!T65</f>
        <v>76</v>
      </c>
      <c r="U65" s="30">
        <f>'среднегодовая на 2025 под факт'!U65+'инообластные на 2025 под факт'!U65</f>
        <v>150927</v>
      </c>
      <c r="V65" s="30">
        <f>'среднегодовая на 2025 под факт'!V65+'инообластные на 2025 под факт'!V65</f>
        <v>232</v>
      </c>
      <c r="W65" s="30">
        <f>'среднегодовая на 2025 под факт'!W65+'инообластные на 2025 под факт'!W65</f>
        <v>432433</v>
      </c>
      <c r="X65" s="30">
        <f>'среднегодовая на 2025 под факт'!X65+'инообластные на 2025 под факт'!X65</f>
        <v>6193</v>
      </c>
      <c r="Y65" s="30">
        <f>'среднегодовая на 2025 под факт'!Y65+'инообластные на 2025 под факт'!Y65</f>
        <v>1599</v>
      </c>
      <c r="Z65" s="30">
        <f>'среднегодовая на 2025 под факт'!Z65+'инообластные на 2025 под факт'!Z65</f>
        <v>112</v>
      </c>
      <c r="AA65" s="30">
        <f>'среднегодовая на 2025 под факт'!AA65+'инообластные на 2025 под факт'!AA65</f>
        <v>14921471</v>
      </c>
      <c r="AB65" s="30">
        <f>'среднегодовая на 2025 под факт'!AB65+'инообластные на 2025 под факт'!AB65</f>
        <v>1956</v>
      </c>
      <c r="AC65" s="30">
        <f>'среднегодовая на 2025 под факт'!AC65+'инообластные на 2025 под факт'!AC65</f>
        <v>9153255</v>
      </c>
      <c r="AD65" s="30">
        <f>'среднегодовая на 2025 под факт'!AD65+'инообластные на 2025 под факт'!AD65</f>
        <v>820</v>
      </c>
      <c r="AE65" s="30">
        <f>'среднегодовая на 2025 под факт'!AE65+'инообластные на 2025 под факт'!AE65</f>
        <v>1380873</v>
      </c>
      <c r="AF65" s="30">
        <f>'среднегодовая на 2025 под факт'!AF65+'инообластные на 2025 под факт'!AF65</f>
        <v>873</v>
      </c>
      <c r="AG65" s="30">
        <f>'среднегодовая на 2025 под факт'!AG65+'инообластные на 2025 под факт'!AG65</f>
        <v>577663</v>
      </c>
      <c r="AH65" s="30">
        <f>'среднегодовая на 2025 под факт'!AH65+'инообластные на 2025 под факт'!AH65</f>
        <v>5071</v>
      </c>
      <c r="AI65" s="30">
        <f>'среднегодовая на 2025 под факт'!AI65+'инообластные на 2025 под факт'!AI65</f>
        <v>15089936</v>
      </c>
      <c r="AJ65" s="30">
        <f>'среднегодовая на 2025 под факт'!AJ65+'инообластные на 2025 под факт'!AJ65</f>
        <v>6325</v>
      </c>
      <c r="AK65" s="30">
        <f>'среднегодовая на 2025 под факт'!AK65+'инообластные на 2025 под факт'!AK65</f>
        <v>8569933</v>
      </c>
      <c r="AL65" s="30"/>
      <c r="AM65" s="30"/>
      <c r="AN65" s="49">
        <f t="shared" si="2"/>
        <v>114084560</v>
      </c>
      <c r="AO65" s="39">
        <f>'среднегодовая на 2025 под факт'!AO65+'инообластные на 2025 под факт'!AO65</f>
        <v>1229</v>
      </c>
      <c r="AP65" s="31"/>
      <c r="AQ65" s="40">
        <f>'среднегодовая на 2025 под факт'!AQ65+'инообластные на 2025 под факт'!AQ65</f>
        <v>49732223</v>
      </c>
      <c r="AR65" s="39">
        <f>'среднегодовая на 2025 под факт'!AR65+'инообластные на 2025 под факт'!AR65</f>
        <v>459</v>
      </c>
      <c r="AS65" s="31"/>
      <c r="AT65" s="40">
        <f>'среднегодовая на 2025 под факт'!AT65+'инообластные на 2025 под факт'!AT65</f>
        <v>9659139</v>
      </c>
      <c r="AU65" s="39">
        <f>'среднегодовая на 2025 под факт'!AU65+'инообластные на 2025 под факт'!AU65</f>
        <v>8225</v>
      </c>
      <c r="AV65" s="31">
        <f>'среднегодовая на 2025 под факт'!AV65+'инообластные на 2025 под факт'!AV65</f>
        <v>179647</v>
      </c>
      <c r="AW65" s="31">
        <f>'среднегодовая на 2025 под факт'!AW65+'инообластные на 2025 под факт'!AW65</f>
        <v>7956583</v>
      </c>
      <c r="AX65" s="31"/>
      <c r="AY65" s="31"/>
      <c r="AZ65" s="40"/>
      <c r="BA65" s="35"/>
      <c r="BB65" s="40"/>
      <c r="BC65" s="186">
        <f t="shared" si="1"/>
        <v>181432505</v>
      </c>
    </row>
    <row r="66" spans="1:55" s="1" customFormat="1" ht="31.5" x14ac:dyDescent="0.25">
      <c r="A66" s="283"/>
      <c r="B66" s="283"/>
      <c r="C66" s="18" t="s">
        <v>190</v>
      </c>
      <c r="D66" s="4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50">
        <f t="shared" si="2"/>
        <v>0</v>
      </c>
      <c r="AO66" s="41">
        <f>'среднегодовая на 2025 под факт'!AO66+'инообластные на 2025 под факт'!AO66</f>
        <v>1</v>
      </c>
      <c r="AP66" s="26"/>
      <c r="AQ66" s="42">
        <f>'среднегодовая на 2025 под факт'!AQ66+'инообластные на 2025 под факт'!AQ66</f>
        <v>14919</v>
      </c>
      <c r="AR66" s="43"/>
      <c r="AS66" s="27"/>
      <c r="AT66" s="44"/>
      <c r="AU66" s="43"/>
      <c r="AV66" s="27"/>
      <c r="AW66" s="27"/>
      <c r="AX66" s="27"/>
      <c r="AY66" s="27"/>
      <c r="AZ66" s="44"/>
      <c r="BA66" s="36"/>
      <c r="BB66" s="44"/>
      <c r="BC66" s="194">
        <f t="shared" si="1"/>
        <v>14919</v>
      </c>
    </row>
    <row r="67" spans="1:55" s="1" customFormat="1" x14ac:dyDescent="0.25">
      <c r="A67" s="283"/>
      <c r="B67" s="283"/>
      <c r="C67" s="19" t="s">
        <v>191</v>
      </c>
      <c r="D67" s="4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50">
        <f t="shared" si="2"/>
        <v>0</v>
      </c>
      <c r="AO67" s="41">
        <f>'среднегодовая на 2025 под факт'!AO67+'инообластные на 2025 под факт'!AO67</f>
        <v>1</v>
      </c>
      <c r="AP67" s="26"/>
      <c r="AQ67" s="42">
        <f>'среднегодовая на 2025 под факт'!AQ67+'инообластные на 2025 под факт'!AQ67</f>
        <v>14919</v>
      </c>
      <c r="AR67" s="43"/>
      <c r="AS67" s="27"/>
      <c r="AT67" s="44"/>
      <c r="AU67" s="43"/>
      <c r="AV67" s="27"/>
      <c r="AW67" s="27"/>
      <c r="AX67" s="27"/>
      <c r="AY67" s="27"/>
      <c r="AZ67" s="44"/>
      <c r="BA67" s="36"/>
      <c r="BB67" s="44"/>
      <c r="BC67" s="194">
        <f t="shared" si="1"/>
        <v>14919</v>
      </c>
    </row>
    <row r="68" spans="1:55" s="1" customFormat="1" x14ac:dyDescent="0.25">
      <c r="A68" s="283"/>
      <c r="B68" s="283"/>
      <c r="C68" s="18" t="s">
        <v>87</v>
      </c>
      <c r="D68" s="4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>
        <f>'среднегодовая на 2025 под факт'!AL68+'инообластные на 2025 под факт'!AL68</f>
        <v>1350</v>
      </c>
      <c r="AM68" s="26">
        <f>'среднегодовая на 2025 под факт'!AM68+'инообластные на 2025 под факт'!AM68</f>
        <v>172045</v>
      </c>
      <c r="AN68" s="50">
        <f t="shared" si="2"/>
        <v>172045</v>
      </c>
      <c r="AO68" s="43"/>
      <c r="AP68" s="27"/>
      <c r="AQ68" s="44"/>
      <c r="AR68" s="43"/>
      <c r="AS68" s="27"/>
      <c r="AT68" s="44"/>
      <c r="AU68" s="43"/>
      <c r="AV68" s="27"/>
      <c r="AW68" s="27"/>
      <c r="AX68" s="27"/>
      <c r="AY68" s="27"/>
      <c r="AZ68" s="44"/>
      <c r="BA68" s="36"/>
      <c r="BB68" s="44"/>
      <c r="BC68" s="188">
        <f t="shared" si="1"/>
        <v>172045</v>
      </c>
    </row>
    <row r="69" spans="1:55" s="1" customFormat="1" x14ac:dyDescent="0.25">
      <c r="A69" s="283"/>
      <c r="B69" s="283"/>
      <c r="C69" s="19" t="s">
        <v>60</v>
      </c>
      <c r="D69" s="41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>
        <f>'среднегодовая на 2025 под факт'!AL69+'инообластные на 2025 под факт'!AL69</f>
        <v>4468</v>
      </c>
      <c r="AM69" s="26">
        <f>'среднегодовая на 2025 под факт'!AM69+'инообластные на 2025 под факт'!AM69</f>
        <v>418388</v>
      </c>
      <c r="AN69" s="50">
        <f t="shared" si="2"/>
        <v>418388</v>
      </c>
      <c r="AO69" s="43"/>
      <c r="AP69" s="27"/>
      <c r="AQ69" s="44"/>
      <c r="AR69" s="43"/>
      <c r="AS69" s="27"/>
      <c r="AT69" s="44"/>
      <c r="AU69" s="43"/>
      <c r="AV69" s="27"/>
      <c r="AW69" s="27"/>
      <c r="AX69" s="27"/>
      <c r="AY69" s="27"/>
      <c r="AZ69" s="44"/>
      <c r="BA69" s="36"/>
      <c r="BB69" s="44"/>
      <c r="BC69" s="188">
        <f t="shared" si="1"/>
        <v>418388</v>
      </c>
    </row>
    <row r="70" spans="1:55" s="1" customFormat="1" x14ac:dyDescent="0.25">
      <c r="A70" s="283"/>
      <c r="B70" s="283"/>
      <c r="C70" s="18" t="s">
        <v>74</v>
      </c>
      <c r="D70" s="41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>
        <f>'среднегодовая на 2025 под факт'!AL70+'инообластные на 2025 под факт'!AL70</f>
        <v>142</v>
      </c>
      <c r="AM70" s="26">
        <f>'среднегодовая на 2025 под факт'!AM70+'инообластные на 2025 под факт'!AM70</f>
        <v>182501</v>
      </c>
      <c r="AN70" s="50">
        <f t="shared" si="2"/>
        <v>182501</v>
      </c>
      <c r="AO70" s="43"/>
      <c r="AP70" s="27"/>
      <c r="AQ70" s="44"/>
      <c r="AR70" s="43"/>
      <c r="AS70" s="27"/>
      <c r="AT70" s="44"/>
      <c r="AU70" s="43"/>
      <c r="AV70" s="27"/>
      <c r="AW70" s="27"/>
      <c r="AX70" s="27"/>
      <c r="AY70" s="27"/>
      <c r="AZ70" s="44"/>
      <c r="BA70" s="36"/>
      <c r="BB70" s="44"/>
      <c r="BC70" s="188">
        <f t="shared" si="1"/>
        <v>182501</v>
      </c>
    </row>
    <row r="71" spans="1:55" s="1" customFormat="1" x14ac:dyDescent="0.25">
      <c r="A71" s="283"/>
      <c r="B71" s="283"/>
      <c r="C71" s="18" t="s">
        <v>75</v>
      </c>
      <c r="D71" s="41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>
        <f>'среднегодовая на 2025 под факт'!AL71+'инообластные на 2025 под факт'!AL71</f>
        <v>606</v>
      </c>
      <c r="AM71" s="26">
        <f>'среднегодовая на 2025 под факт'!AM71+'инообластные на 2025 под факт'!AM71</f>
        <v>705602</v>
      </c>
      <c r="AN71" s="50">
        <f t="shared" si="2"/>
        <v>705602</v>
      </c>
      <c r="AO71" s="43"/>
      <c r="AP71" s="27"/>
      <c r="AQ71" s="44"/>
      <c r="AR71" s="43"/>
      <c r="AS71" s="27"/>
      <c r="AT71" s="44"/>
      <c r="AU71" s="43"/>
      <c r="AV71" s="27"/>
      <c r="AW71" s="27"/>
      <c r="AX71" s="27"/>
      <c r="AY71" s="27"/>
      <c r="AZ71" s="44"/>
      <c r="BA71" s="36"/>
      <c r="BB71" s="44"/>
      <c r="BC71" s="188">
        <f t="shared" si="1"/>
        <v>705602</v>
      </c>
    </row>
    <row r="72" spans="1:55" s="1" customFormat="1" x14ac:dyDescent="0.25">
      <c r="A72" s="283"/>
      <c r="B72" s="283"/>
      <c r="C72" s="18" t="s">
        <v>56</v>
      </c>
      <c r="D72" s="41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>
        <f>'среднегодовая на 2025 под факт'!AL72+'инообластные на 2025 под факт'!AL72</f>
        <v>62</v>
      </c>
      <c r="AM72" s="26">
        <f>'среднегодовая на 2025 под факт'!AM72+'инообластные на 2025 под факт'!AM72</f>
        <v>42456</v>
      </c>
      <c r="AN72" s="50">
        <f t="shared" si="2"/>
        <v>42456</v>
      </c>
      <c r="AO72" s="43"/>
      <c r="AP72" s="27"/>
      <c r="AQ72" s="44"/>
      <c r="AR72" s="43"/>
      <c r="AS72" s="27"/>
      <c r="AT72" s="44"/>
      <c r="AU72" s="43"/>
      <c r="AV72" s="27"/>
      <c r="AW72" s="27"/>
      <c r="AX72" s="27"/>
      <c r="AY72" s="27"/>
      <c r="AZ72" s="44"/>
      <c r="BA72" s="36"/>
      <c r="BB72" s="44"/>
      <c r="BC72" s="188">
        <f t="shared" si="1"/>
        <v>42456</v>
      </c>
    </row>
    <row r="73" spans="1:55" s="1" customFormat="1" x14ac:dyDescent="0.25">
      <c r="A73" s="283"/>
      <c r="B73" s="283"/>
      <c r="C73" s="18" t="s">
        <v>111</v>
      </c>
      <c r="D73" s="41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>
        <f>'среднегодовая на 2025 под факт'!AL73+'инообластные на 2025 под факт'!AL73</f>
        <v>33</v>
      </c>
      <c r="AM73" s="26">
        <f>'среднегодовая на 2025 под факт'!AM73+'инообластные на 2025 под факт'!AM73</f>
        <v>83046</v>
      </c>
      <c r="AN73" s="50">
        <f t="shared" si="2"/>
        <v>83046</v>
      </c>
      <c r="AO73" s="43"/>
      <c r="AP73" s="27"/>
      <c r="AQ73" s="44"/>
      <c r="AR73" s="43"/>
      <c r="AS73" s="27"/>
      <c r="AT73" s="44"/>
      <c r="AU73" s="43"/>
      <c r="AV73" s="27"/>
      <c r="AW73" s="27"/>
      <c r="AX73" s="27"/>
      <c r="AY73" s="27"/>
      <c r="AZ73" s="44"/>
      <c r="BA73" s="36"/>
      <c r="BB73" s="44"/>
      <c r="BC73" s="188">
        <f t="shared" si="1"/>
        <v>83046</v>
      </c>
    </row>
    <row r="74" spans="1:55" s="1" customFormat="1" x14ac:dyDescent="0.25">
      <c r="A74" s="283"/>
      <c r="B74" s="283"/>
      <c r="C74" s="18" t="s">
        <v>112</v>
      </c>
      <c r="D74" s="41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>
        <f>'среднегодовая на 2025 под факт'!AL74+'инообластные на 2025 под факт'!AL74</f>
        <v>121</v>
      </c>
      <c r="AM74" s="26">
        <f>'среднегодовая на 2025 под факт'!AM74+'инообластные на 2025 под факт'!AM74</f>
        <v>152252</v>
      </c>
      <c r="AN74" s="50">
        <f t="shared" si="2"/>
        <v>152252</v>
      </c>
      <c r="AO74" s="43"/>
      <c r="AP74" s="27"/>
      <c r="AQ74" s="44"/>
      <c r="AR74" s="43"/>
      <c r="AS74" s="27"/>
      <c r="AT74" s="44"/>
      <c r="AU74" s="43"/>
      <c r="AV74" s="27"/>
      <c r="AW74" s="27"/>
      <c r="AX74" s="27"/>
      <c r="AY74" s="27"/>
      <c r="AZ74" s="44"/>
      <c r="BA74" s="36"/>
      <c r="BB74" s="44"/>
      <c r="BC74" s="188">
        <f t="shared" si="1"/>
        <v>152252</v>
      </c>
    </row>
    <row r="75" spans="1:55" s="1" customFormat="1" x14ac:dyDescent="0.25">
      <c r="A75" s="283"/>
      <c r="B75" s="283"/>
      <c r="C75" s="21" t="s">
        <v>183</v>
      </c>
      <c r="D75" s="41">
        <f>'среднегодовая на 2025 под факт'!D75+'инообластные на 2025 под факт'!D75</f>
        <v>216</v>
      </c>
      <c r="E75" s="26">
        <f>'среднегодовая на 2025 под факт'!E75+'инообластные на 2025 под факт'!E75</f>
        <v>126417</v>
      </c>
      <c r="F75" s="26">
        <f>'среднегодовая на 2025 под факт'!F75+'инообластные на 2025 под факт'!F75</f>
        <v>4</v>
      </c>
      <c r="G75" s="26">
        <f>'среднегодовая на 2025 под факт'!G75+'инообластные на 2025 под факт'!G75</f>
        <v>4997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>
        <f>'среднегодовая на 2025 под факт'!AL75+'инообластные на 2025 под факт'!AL75</f>
        <v>249</v>
      </c>
      <c r="AM75" s="26">
        <f>'среднегодовая на 2025 под факт'!AM75+'инообластные на 2025 под факт'!AM75</f>
        <v>233147</v>
      </c>
      <c r="AN75" s="50">
        <f t="shared" si="2"/>
        <v>364561</v>
      </c>
      <c r="AO75" s="43"/>
      <c r="AP75" s="27"/>
      <c r="AQ75" s="44"/>
      <c r="AR75" s="43"/>
      <c r="AS75" s="27"/>
      <c r="AT75" s="44"/>
      <c r="AU75" s="43"/>
      <c r="AV75" s="27"/>
      <c r="AW75" s="27"/>
      <c r="AX75" s="27"/>
      <c r="AY75" s="27"/>
      <c r="AZ75" s="44"/>
      <c r="BA75" s="36"/>
      <c r="BB75" s="44"/>
      <c r="BC75" s="190">
        <f t="shared" si="1"/>
        <v>364561</v>
      </c>
    </row>
    <row r="76" spans="1:55" s="1" customFormat="1" ht="16.5" thickBot="1" x14ac:dyDescent="0.3">
      <c r="A76" s="284"/>
      <c r="B76" s="284"/>
      <c r="C76" s="21" t="s">
        <v>148</v>
      </c>
      <c r="D76" s="54"/>
      <c r="E76" s="32">
        <f>'среднегодовая на 2025 под факт'!E76+'инообластные на 2025 под факт'!E76</f>
        <v>714987</v>
      </c>
      <c r="F76" s="32"/>
      <c r="G76" s="32">
        <f>'среднегодовая на 2025 под факт'!G76+'инообластные на 2025 под факт'!G76</f>
        <v>409002</v>
      </c>
      <c r="H76" s="32"/>
      <c r="I76" s="32">
        <f>'среднегодовая на 2025 под факт'!I76+'инообластные на 2025 под факт'!I76</f>
        <v>1208</v>
      </c>
      <c r="J76" s="32"/>
      <c r="K76" s="32">
        <f>'среднегодовая на 2025 под факт'!K76+'инообластные на 2025 под факт'!K76</f>
        <v>3490</v>
      </c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51">
        <f t="shared" si="2"/>
        <v>1128687</v>
      </c>
      <c r="AO76" s="45"/>
      <c r="AP76" s="33"/>
      <c r="AQ76" s="46"/>
      <c r="AR76" s="45"/>
      <c r="AS76" s="33"/>
      <c r="AT76" s="46"/>
      <c r="AU76" s="45"/>
      <c r="AV76" s="33"/>
      <c r="AW76" s="33"/>
      <c r="AX76" s="33"/>
      <c r="AY76" s="33"/>
      <c r="AZ76" s="46"/>
      <c r="BA76" s="37"/>
      <c r="BB76" s="46"/>
      <c r="BC76" s="189">
        <f t="shared" si="1"/>
        <v>1128687</v>
      </c>
    </row>
    <row r="77" spans="1:55" s="1" customFormat="1" x14ac:dyDescent="0.25">
      <c r="A77" s="282">
        <v>10</v>
      </c>
      <c r="B77" s="282">
        <v>790012</v>
      </c>
      <c r="C77" s="137" t="s">
        <v>19</v>
      </c>
      <c r="D77" s="73">
        <f>'среднегодовая на 2025 под факт'!D77+'инообластные на 2025 под факт'!D77</f>
        <v>51635</v>
      </c>
      <c r="E77" s="30">
        <f>'среднегодовая на 2025 под факт'!E77+'инообластные на 2025 под факт'!E77</f>
        <v>20998973</v>
      </c>
      <c r="F77" s="30">
        <f>'среднегодовая на 2025 под факт'!F77+'инообластные на 2025 под факт'!F77</f>
        <v>6408</v>
      </c>
      <c r="G77" s="30">
        <f>'среднегодовая на 2025 под факт'!G77+'инообластные на 2025 под факт'!G77</f>
        <v>7124678</v>
      </c>
      <c r="H77" s="30">
        <f>'среднегодовая на 2025 под факт'!H77+'инообластные на 2025 под факт'!H77</f>
        <v>5631</v>
      </c>
      <c r="I77" s="30">
        <f>'среднегодовая на 2025 под факт'!I77+'инообластные на 2025 под факт'!I77</f>
        <v>3509678</v>
      </c>
      <c r="J77" s="30">
        <f>'среднегодовая на 2025 под факт'!J77+'инообластные на 2025 под факт'!J77</f>
        <v>5</v>
      </c>
      <c r="K77" s="30">
        <f>'среднегодовая на 2025 под факт'!K77+'инообластные на 2025 под факт'!K77</f>
        <v>24403</v>
      </c>
      <c r="L77" s="30">
        <f>'среднегодовая на 2025 под факт'!L77+'инообластные на 2025 под факт'!L77</f>
        <v>68</v>
      </c>
      <c r="M77" s="30">
        <f>'среднегодовая на 2025 под факт'!M77+'инообластные на 2025 под факт'!M77</f>
        <v>141154</v>
      </c>
      <c r="N77" s="30"/>
      <c r="O77" s="30"/>
      <c r="P77" s="30">
        <f>'среднегодовая на 2025 под факт'!P77+'инообластные на 2025 под факт'!P77</f>
        <v>124</v>
      </c>
      <c r="Q77" s="30">
        <f>'среднегодовая на 2025 под факт'!Q77+'инообластные на 2025 под факт'!Q77</f>
        <v>243073</v>
      </c>
      <c r="R77" s="30">
        <f>'среднегодовая на 2025 под факт'!R77+'инообластные на 2025 под факт'!R77</f>
        <v>289</v>
      </c>
      <c r="S77" s="30">
        <f>'среднегодовая на 2025 под факт'!S77+'инообластные на 2025 под факт'!S77</f>
        <v>1263544</v>
      </c>
      <c r="T77" s="30">
        <f>'среднегодовая на 2025 под факт'!T77+'инообластные на 2025 под факт'!T77</f>
        <v>910</v>
      </c>
      <c r="U77" s="30">
        <f>'среднегодовая на 2025 под факт'!U77+'инообластные на 2025 под факт'!U77</f>
        <v>1807134</v>
      </c>
      <c r="V77" s="30"/>
      <c r="W77" s="30"/>
      <c r="X77" s="30">
        <f>'среднегодовая на 2025 под факт'!X77+'инообластные на 2025 под факт'!X77</f>
        <v>3394</v>
      </c>
      <c r="Y77" s="30">
        <f>'среднегодовая на 2025 под факт'!Y77+'инообластные на 2025 под факт'!Y77</f>
        <v>1681</v>
      </c>
      <c r="Z77" s="30">
        <f>'среднегодовая на 2025 под факт'!Z77+'инообластные на 2025 под факт'!Z77</f>
        <v>294</v>
      </c>
      <c r="AA77" s="30">
        <f>'среднегодовая на 2025 под факт'!AA77+'инообластные на 2025 под факт'!AA77</f>
        <v>7523805</v>
      </c>
      <c r="AB77" s="30">
        <f>'среднегодовая на 2025 под факт'!AB77+'инообластные на 2025 под факт'!AB77</f>
        <v>1887</v>
      </c>
      <c r="AC77" s="30">
        <f>'среднегодовая на 2025 под факт'!AC77+'инообластные на 2025 под факт'!AC77</f>
        <v>10088857</v>
      </c>
      <c r="AD77" s="30">
        <f>'среднегодовая на 2025 под факт'!AD77+'инообластные на 2025 под факт'!AD77</f>
        <v>114</v>
      </c>
      <c r="AE77" s="30">
        <f>'среднегодовая на 2025 под факт'!AE77+'инообластные на 2025 под факт'!AE77</f>
        <v>191975</v>
      </c>
      <c r="AF77" s="30">
        <f>'среднегодовая на 2025 под факт'!AF77+'инообластные на 2025 под факт'!AF77</f>
        <v>1390</v>
      </c>
      <c r="AG77" s="30">
        <f>'среднегодовая на 2025 под факт'!AG77+'инообластные на 2025 под факт'!AG77</f>
        <v>1243391</v>
      </c>
      <c r="AH77" s="30">
        <f>'среднегодовая на 2025 под факт'!AH77+'инообластные на 2025 под факт'!AH77</f>
        <v>3287</v>
      </c>
      <c r="AI77" s="30">
        <f>'среднегодовая на 2025 под факт'!AI77+'инообластные на 2025 под факт'!AI77</f>
        <v>10145680</v>
      </c>
      <c r="AJ77" s="30">
        <f>'среднегодовая на 2025 под факт'!AJ77+'инообластные на 2025 под факт'!AJ77</f>
        <v>6430</v>
      </c>
      <c r="AK77" s="30">
        <f>'среднегодовая на 2025 под факт'!AK77+'инообластные на 2025 под факт'!AK77</f>
        <v>8712201</v>
      </c>
      <c r="AL77" s="30"/>
      <c r="AM77" s="30"/>
      <c r="AN77" s="49">
        <f t="shared" si="2"/>
        <v>73018546</v>
      </c>
      <c r="AO77" s="39">
        <f>'среднегодовая на 2025 под факт'!AO77+'инообластные на 2025 под факт'!AO77</f>
        <v>1318</v>
      </c>
      <c r="AP77" s="31"/>
      <c r="AQ77" s="40">
        <f>'среднегодовая на 2025 под факт'!AQ77+'инообластные на 2025 под факт'!AQ77</f>
        <v>55368996</v>
      </c>
      <c r="AR77" s="39">
        <f>'среднегодовая на 2025 под факт'!AR77+'инообластные на 2025 под факт'!AR77</f>
        <v>1005</v>
      </c>
      <c r="AS77" s="31"/>
      <c r="AT77" s="40">
        <f>'среднегодовая на 2025 под факт'!AT77+'инообластные на 2025 под факт'!AT77</f>
        <v>20174658</v>
      </c>
      <c r="AU77" s="39">
        <f>'среднегодовая на 2025 под факт'!AU77+'инообластные на 2025 под факт'!AU77</f>
        <v>8964</v>
      </c>
      <c r="AV77" s="31">
        <f>'среднегодовая на 2025 под факт'!AV77+'инообластные на 2025 под факт'!AV77</f>
        <v>44137</v>
      </c>
      <c r="AW77" s="31">
        <f>'среднегодовая на 2025 под факт'!AW77+'инообластные на 2025 под факт'!AW77</f>
        <v>12922202</v>
      </c>
      <c r="AX77" s="31"/>
      <c r="AY77" s="31"/>
      <c r="AZ77" s="40"/>
      <c r="BA77" s="35"/>
      <c r="BB77" s="40"/>
      <c r="BC77" s="186">
        <f t="shared" si="1"/>
        <v>161484402</v>
      </c>
    </row>
    <row r="78" spans="1:55" s="1" customFormat="1" ht="31.5" x14ac:dyDescent="0.25">
      <c r="A78" s="283"/>
      <c r="B78" s="283"/>
      <c r="C78" s="18" t="s">
        <v>190</v>
      </c>
      <c r="D78" s="41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50">
        <f t="shared" si="2"/>
        <v>0</v>
      </c>
      <c r="AO78" s="41">
        <f>'среднегодовая на 2025 под факт'!AO78+'инообластные на 2025 под факт'!AO78</f>
        <v>5</v>
      </c>
      <c r="AP78" s="26"/>
      <c r="AQ78" s="42">
        <f>'среднегодовая на 2025 под факт'!AQ78+'инообластные на 2025 под факт'!AQ78</f>
        <v>74593</v>
      </c>
      <c r="AR78" s="43"/>
      <c r="AS78" s="27"/>
      <c r="AT78" s="44"/>
      <c r="AU78" s="43"/>
      <c r="AV78" s="27"/>
      <c r="AW78" s="27"/>
      <c r="AX78" s="27"/>
      <c r="AY78" s="27"/>
      <c r="AZ78" s="44"/>
      <c r="BA78" s="36"/>
      <c r="BB78" s="44"/>
      <c r="BC78" s="187">
        <f t="shared" si="1"/>
        <v>74593</v>
      </c>
    </row>
    <row r="79" spans="1:55" s="1" customFormat="1" x14ac:dyDescent="0.25">
      <c r="A79" s="283"/>
      <c r="B79" s="283"/>
      <c r="C79" s="19" t="s">
        <v>191</v>
      </c>
      <c r="D79" s="41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50">
        <f t="shared" si="2"/>
        <v>0</v>
      </c>
      <c r="AO79" s="43"/>
      <c r="AP79" s="27"/>
      <c r="AQ79" s="44"/>
      <c r="AR79" s="43"/>
      <c r="AS79" s="27"/>
      <c r="AT79" s="44"/>
      <c r="AU79" s="43"/>
      <c r="AV79" s="27"/>
      <c r="AW79" s="27"/>
      <c r="AX79" s="27"/>
      <c r="AY79" s="27"/>
      <c r="AZ79" s="44"/>
      <c r="BA79" s="36"/>
      <c r="BB79" s="44"/>
      <c r="BC79" s="194">
        <f t="shared" si="1"/>
        <v>0</v>
      </c>
    </row>
    <row r="80" spans="1:55" s="1" customFormat="1" x14ac:dyDescent="0.25">
      <c r="A80" s="283"/>
      <c r="B80" s="283"/>
      <c r="C80" s="18" t="s">
        <v>87</v>
      </c>
      <c r="D80" s="41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>
        <f>'среднегодовая на 2025 под факт'!AL80+'инообластные на 2025 под факт'!AL80</f>
        <v>4811</v>
      </c>
      <c r="AM80" s="26">
        <f>'среднегодовая на 2025 под факт'!AM80+'инообластные на 2025 под факт'!AM80</f>
        <v>613114</v>
      </c>
      <c r="AN80" s="50">
        <f t="shared" si="2"/>
        <v>613114</v>
      </c>
      <c r="AO80" s="43"/>
      <c r="AP80" s="27"/>
      <c r="AQ80" s="44"/>
      <c r="AR80" s="43"/>
      <c r="AS80" s="27"/>
      <c r="AT80" s="44"/>
      <c r="AU80" s="43"/>
      <c r="AV80" s="27"/>
      <c r="AW80" s="27"/>
      <c r="AX80" s="27"/>
      <c r="AY80" s="27"/>
      <c r="AZ80" s="44"/>
      <c r="BA80" s="36"/>
      <c r="BB80" s="44"/>
      <c r="BC80" s="188">
        <f t="shared" si="1"/>
        <v>613114</v>
      </c>
    </row>
    <row r="81" spans="1:55" s="1" customFormat="1" ht="31.5" x14ac:dyDescent="0.25">
      <c r="A81" s="283"/>
      <c r="B81" s="283"/>
      <c r="C81" s="18" t="s">
        <v>192</v>
      </c>
      <c r="D81" s="41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50">
        <f t="shared" si="2"/>
        <v>0</v>
      </c>
      <c r="AO81" s="43"/>
      <c r="AP81" s="27"/>
      <c r="AQ81" s="44"/>
      <c r="AR81" s="43"/>
      <c r="AS81" s="27"/>
      <c r="AT81" s="44"/>
      <c r="AU81" s="43"/>
      <c r="AV81" s="27"/>
      <c r="AW81" s="27"/>
      <c r="AX81" s="27"/>
      <c r="AY81" s="27"/>
      <c r="AZ81" s="44"/>
      <c r="BA81" s="36"/>
      <c r="BB81" s="44"/>
      <c r="BC81" s="188">
        <f t="shared" si="1"/>
        <v>0</v>
      </c>
    </row>
    <row r="82" spans="1:55" s="1" customFormat="1" x14ac:dyDescent="0.25">
      <c r="A82" s="283"/>
      <c r="B82" s="283"/>
      <c r="C82" s="253" t="s">
        <v>60</v>
      </c>
      <c r="D82" s="41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>
        <f>'среднегодовая на 2025 под факт'!AL82+'инообластные на 2025 под факт'!AL82</f>
        <v>5654</v>
      </c>
      <c r="AM82" s="26">
        <f>'среднегодовая на 2025 под факт'!AM82+'инообластные на 2025 под факт'!AM82</f>
        <v>535048</v>
      </c>
      <c r="AN82" s="50">
        <f t="shared" si="2"/>
        <v>535048</v>
      </c>
      <c r="AO82" s="43"/>
      <c r="AP82" s="27"/>
      <c r="AQ82" s="44"/>
      <c r="AR82" s="43"/>
      <c r="AS82" s="27"/>
      <c r="AT82" s="44"/>
      <c r="AU82" s="43"/>
      <c r="AV82" s="27"/>
      <c r="AW82" s="27"/>
      <c r="AX82" s="27"/>
      <c r="AY82" s="27"/>
      <c r="AZ82" s="44"/>
      <c r="BA82" s="36"/>
      <c r="BB82" s="44"/>
      <c r="BC82" s="188">
        <f t="shared" si="1"/>
        <v>535048</v>
      </c>
    </row>
    <row r="83" spans="1:55" s="1" customFormat="1" x14ac:dyDescent="0.25">
      <c r="A83" s="283"/>
      <c r="B83" s="283"/>
      <c r="C83" s="18" t="s">
        <v>74</v>
      </c>
      <c r="D83" s="41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>
        <f>'среднегодовая на 2025 под факт'!AL83+'инообластные на 2025 под факт'!AL83</f>
        <v>336</v>
      </c>
      <c r="AM83" s="26">
        <f>'среднегодовая на 2025 под факт'!AM83+'инообластные на 2025 под факт'!AM83</f>
        <v>494503</v>
      </c>
      <c r="AN83" s="50">
        <f t="shared" si="2"/>
        <v>494503</v>
      </c>
      <c r="AO83" s="43"/>
      <c r="AP83" s="27"/>
      <c r="AQ83" s="44"/>
      <c r="AR83" s="43"/>
      <c r="AS83" s="27"/>
      <c r="AT83" s="44"/>
      <c r="AU83" s="43"/>
      <c r="AV83" s="27"/>
      <c r="AW83" s="27"/>
      <c r="AX83" s="27"/>
      <c r="AY83" s="27"/>
      <c r="AZ83" s="44"/>
      <c r="BA83" s="36"/>
      <c r="BB83" s="44"/>
      <c r="BC83" s="188">
        <f t="shared" si="1"/>
        <v>494503</v>
      </c>
    </row>
    <row r="84" spans="1:55" s="1" customFormat="1" x14ac:dyDescent="0.25">
      <c r="A84" s="283"/>
      <c r="B84" s="283"/>
      <c r="C84" s="18" t="s">
        <v>185</v>
      </c>
      <c r="D84" s="41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>
        <f>'среднегодовая на 2025 под факт'!AL84+'инообластные на 2025 под факт'!AL84</f>
        <v>323</v>
      </c>
      <c r="AM84" s="26">
        <f>'среднегодовая на 2025 под факт'!AM84+'инообластные на 2025 под факт'!AM84</f>
        <v>256653</v>
      </c>
      <c r="AN84" s="50">
        <f t="shared" si="2"/>
        <v>256653</v>
      </c>
      <c r="AO84" s="43"/>
      <c r="AP84" s="27"/>
      <c r="AQ84" s="44"/>
      <c r="AR84" s="43"/>
      <c r="AS84" s="27"/>
      <c r="AT84" s="44"/>
      <c r="AU84" s="43"/>
      <c r="AV84" s="27"/>
      <c r="AW84" s="27"/>
      <c r="AX84" s="27"/>
      <c r="AY84" s="27"/>
      <c r="AZ84" s="44"/>
      <c r="BA84" s="36"/>
      <c r="BB84" s="44"/>
      <c r="BC84" s="188">
        <f t="shared" si="1"/>
        <v>256653</v>
      </c>
    </row>
    <row r="85" spans="1:55" s="1" customFormat="1" x14ac:dyDescent="0.25">
      <c r="A85" s="283"/>
      <c r="B85" s="283"/>
      <c r="C85" s="18" t="s">
        <v>75</v>
      </c>
      <c r="D85" s="41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>
        <f>'среднегодовая на 2025 под факт'!AL85+'инообластные на 2025 под факт'!AL85</f>
        <v>300</v>
      </c>
      <c r="AM85" s="26">
        <f>'среднегодовая на 2025 под факт'!AM85+'инообластные на 2025 под факт'!AM85</f>
        <v>287561</v>
      </c>
      <c r="AN85" s="50">
        <f t="shared" si="2"/>
        <v>287561</v>
      </c>
      <c r="AO85" s="43"/>
      <c r="AP85" s="27"/>
      <c r="AQ85" s="44"/>
      <c r="AR85" s="43"/>
      <c r="AS85" s="27"/>
      <c r="AT85" s="44"/>
      <c r="AU85" s="43"/>
      <c r="AV85" s="27"/>
      <c r="AW85" s="27"/>
      <c r="AX85" s="27"/>
      <c r="AY85" s="27"/>
      <c r="AZ85" s="44"/>
      <c r="BA85" s="36"/>
      <c r="BB85" s="44"/>
      <c r="BC85" s="188">
        <f t="shared" si="1"/>
        <v>287561</v>
      </c>
    </row>
    <row r="86" spans="1:55" s="1" customFormat="1" x14ac:dyDescent="0.25">
      <c r="A86" s="283"/>
      <c r="B86" s="283"/>
      <c r="C86" s="18" t="s">
        <v>56</v>
      </c>
      <c r="D86" s="41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>
        <f>'среднегодовая на 2025 под факт'!AL86+'инообластные на 2025 под факт'!AL86</f>
        <v>34</v>
      </c>
      <c r="AM86" s="26">
        <f>'среднегодовая на 2025 под факт'!AM86+'инообластные на 2025 под факт'!AM86</f>
        <v>18879</v>
      </c>
      <c r="AN86" s="50">
        <f t="shared" si="2"/>
        <v>18879</v>
      </c>
      <c r="AO86" s="43"/>
      <c r="AP86" s="27"/>
      <c r="AQ86" s="44"/>
      <c r="AR86" s="43"/>
      <c r="AS86" s="27"/>
      <c r="AT86" s="44"/>
      <c r="AU86" s="43"/>
      <c r="AV86" s="27"/>
      <c r="AW86" s="27"/>
      <c r="AX86" s="27"/>
      <c r="AY86" s="27"/>
      <c r="AZ86" s="44"/>
      <c r="BA86" s="36"/>
      <c r="BB86" s="44"/>
      <c r="BC86" s="188">
        <f t="shared" si="1"/>
        <v>18879</v>
      </c>
    </row>
    <row r="87" spans="1:55" s="1" customFormat="1" x14ac:dyDescent="0.25">
      <c r="A87" s="283"/>
      <c r="B87" s="283"/>
      <c r="C87" s="18" t="s">
        <v>179</v>
      </c>
      <c r="D87" s="41">
        <f>'среднегодовая на 2025 под факт'!D87+'инообластные на 2025 под факт'!D87</f>
        <v>120</v>
      </c>
      <c r="E87" s="26">
        <f>'среднегодовая на 2025 под факт'!E87+'инообластные на 2025 под факт'!E87</f>
        <v>401445</v>
      </c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50">
        <f t="shared" si="2"/>
        <v>401445</v>
      </c>
      <c r="AO87" s="43"/>
      <c r="AP87" s="27"/>
      <c r="AQ87" s="44"/>
      <c r="AR87" s="43"/>
      <c r="AS87" s="27"/>
      <c r="AT87" s="44"/>
      <c r="AU87" s="43"/>
      <c r="AV87" s="27"/>
      <c r="AW87" s="27"/>
      <c r="AX87" s="27"/>
      <c r="AY87" s="27"/>
      <c r="AZ87" s="44"/>
      <c r="BA87" s="36"/>
      <c r="BB87" s="44"/>
      <c r="BC87" s="188">
        <f t="shared" si="1"/>
        <v>401445</v>
      </c>
    </row>
    <row r="88" spans="1:55" s="1" customFormat="1" ht="16.5" thickBot="1" x14ac:dyDescent="0.3">
      <c r="A88" s="284"/>
      <c r="B88" s="284"/>
      <c r="C88" s="22" t="s">
        <v>148</v>
      </c>
      <c r="D88" s="54"/>
      <c r="E88" s="32">
        <f>'среднегодовая на 2025 под факт'!E88+'инообластные на 2025 под факт'!E88</f>
        <v>973272.52055663441</v>
      </c>
      <c r="F88" s="32"/>
      <c r="G88" s="32">
        <f>'среднегодовая на 2025 под факт'!G88+'инообластные на 2025 под факт'!G88</f>
        <v>343807.31234588654</v>
      </c>
      <c r="H88" s="32"/>
      <c r="I88" s="32">
        <f>'среднегодовая на 2025 под факт'!I88+'инообластные на 2025 под факт'!I88</f>
        <v>180418.32904105142</v>
      </c>
      <c r="J88" s="32"/>
      <c r="K88" s="32">
        <f>'среднегодовая на 2025 под факт'!K88+'инообластные на 2025 под факт'!K88</f>
        <v>1310.8380564275456</v>
      </c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51">
        <f t="shared" si="2"/>
        <v>1498809</v>
      </c>
      <c r="AO88" s="45"/>
      <c r="AP88" s="33"/>
      <c r="AQ88" s="46"/>
      <c r="AR88" s="45"/>
      <c r="AS88" s="33"/>
      <c r="AT88" s="46"/>
      <c r="AU88" s="45"/>
      <c r="AV88" s="33"/>
      <c r="AW88" s="33"/>
      <c r="AX88" s="33"/>
      <c r="AY88" s="33"/>
      <c r="AZ88" s="46"/>
      <c r="BA88" s="37"/>
      <c r="BB88" s="46"/>
      <c r="BC88" s="189">
        <f t="shared" si="1"/>
        <v>1498809</v>
      </c>
    </row>
    <row r="89" spans="1:55" s="1" customFormat="1" x14ac:dyDescent="0.25">
      <c r="A89" s="282">
        <v>11</v>
      </c>
      <c r="B89" s="282">
        <v>790013</v>
      </c>
      <c r="C89" s="97" t="s">
        <v>22</v>
      </c>
      <c r="D89" s="73">
        <f>'среднегодовая на 2025 под факт'!D89+'инообластные на 2025 под факт'!D89</f>
        <v>43374</v>
      </c>
      <c r="E89" s="30">
        <f>'среднегодовая на 2025 под факт'!E89+'инообластные на 2025 под факт'!E89</f>
        <v>34480725</v>
      </c>
      <c r="F89" s="30">
        <f>'среднегодовая на 2025 под факт'!F89+'инообластные на 2025 под факт'!F89</f>
        <v>3391</v>
      </c>
      <c r="G89" s="30">
        <f>'среднегодовая на 2025 под факт'!G89+'инообластные на 2025 под факт'!G89</f>
        <v>5286570</v>
      </c>
      <c r="H89" s="30">
        <f>'среднегодовая на 2025 под факт'!H89+'инообластные на 2025 под факт'!H89</f>
        <v>2973</v>
      </c>
      <c r="I89" s="30">
        <f>'среднегодовая на 2025 под факт'!I89+'инообластные на 2025 под факт'!I89</f>
        <v>4387736</v>
      </c>
      <c r="J89" s="30">
        <f>'среднегодовая на 2025 под факт'!J89+'инообластные на 2025 под факт'!J89</f>
        <v>129</v>
      </c>
      <c r="K89" s="30">
        <f>'среднегодовая на 2025 под факт'!K89+'инообластные на 2025 под факт'!K89</f>
        <v>718110</v>
      </c>
      <c r="L89" s="30">
        <f>'среднегодовая на 2025 под факт'!L89+'инообластные на 2025 под факт'!L89</f>
        <v>20</v>
      </c>
      <c r="M89" s="30">
        <f>'среднегодовая на 2025 под факт'!M89+'инообластные на 2025 под факт'!M89</f>
        <v>41516</v>
      </c>
      <c r="N89" s="30">
        <f>'среднегодовая на 2025 под факт'!N89+'инообластные на 2025 под факт'!N89</f>
        <v>0</v>
      </c>
      <c r="O89" s="30">
        <f>'среднегодовая на 2025 под факт'!O89+'инообластные на 2025 под факт'!O89</f>
        <v>0</v>
      </c>
      <c r="P89" s="30">
        <f>'среднегодовая на 2025 под факт'!P89+'инообластные на 2025 под факт'!P89</f>
        <v>166</v>
      </c>
      <c r="Q89" s="30">
        <f>'среднегодовая на 2025 под факт'!Q89+'инообластные на 2025 под факт'!Q89</f>
        <v>325942</v>
      </c>
      <c r="R89" s="30">
        <f>'среднегодовая на 2025 под факт'!R89+'инообластные на 2025 под факт'!R89</f>
        <v>219</v>
      </c>
      <c r="S89" s="30">
        <f>'среднегодовая на 2025 под факт'!S89+'инообластные на 2025 под факт'!S89</f>
        <v>957496</v>
      </c>
      <c r="T89" s="30">
        <f>'среднегодовая на 2025 под факт'!T89+'инообластные на 2025 под факт'!T89</f>
        <v>266</v>
      </c>
      <c r="U89" s="30">
        <f>'среднегодовая на 2025 под факт'!U89+'инообластные на 2025 под факт'!U89</f>
        <v>528240</v>
      </c>
      <c r="V89" s="30">
        <f>'среднегодовая на 2025 под факт'!V89+'инообластные на 2025 под факт'!V89</f>
        <v>102</v>
      </c>
      <c r="W89" s="30">
        <f>'среднегодовая на 2025 под факт'!W89+'инообластные на 2025 под факт'!W89</f>
        <v>190506</v>
      </c>
      <c r="X89" s="30">
        <f>'среднегодовая на 2025 под факт'!X89+'инообластные на 2025 под факт'!X89</f>
        <v>4565</v>
      </c>
      <c r="Y89" s="30">
        <f>'среднегодовая на 2025 под факт'!Y89+'инообластные на 2025 под факт'!Y89</f>
        <v>508</v>
      </c>
      <c r="Z89" s="30">
        <f>'среднегодовая на 2025 под факт'!Z89+'инообластные на 2025 под факт'!Z89</f>
        <v>0</v>
      </c>
      <c r="AA89" s="30">
        <f>'среднегодовая на 2025 под факт'!AA89+'инообластные на 2025 под факт'!AA89</f>
        <v>30506338</v>
      </c>
      <c r="AB89" s="30">
        <f>'среднегодовая на 2025 под факт'!AB89+'инообластные на 2025 под факт'!AB89</f>
        <v>1473</v>
      </c>
      <c r="AC89" s="30">
        <f>'среднегодовая на 2025 под факт'!AC89+'инообластные на 2025 под факт'!AC89</f>
        <v>7662675</v>
      </c>
      <c r="AD89" s="30">
        <f>'среднегодовая на 2025 под факт'!AD89+'инообластные на 2025 под факт'!AD89</f>
        <v>1135</v>
      </c>
      <c r="AE89" s="30">
        <f>'среднегодовая на 2025 под факт'!AE89+'инообластные на 2025 под факт'!AE89</f>
        <v>2918050</v>
      </c>
      <c r="AF89" s="30">
        <f>'среднегодовая на 2025 под факт'!AF89+'инообластные на 2025 под факт'!AF89</f>
        <v>532</v>
      </c>
      <c r="AG89" s="30">
        <f>'среднегодовая на 2025 под факт'!AG89+'инообластные на 2025 под факт'!AG89</f>
        <v>1426664</v>
      </c>
      <c r="AH89" s="30">
        <f>'среднегодовая на 2025 под факт'!AH89+'инообластные на 2025 под факт'!AH89</f>
        <v>2286</v>
      </c>
      <c r="AI89" s="30">
        <f>'среднегодовая на 2025 под факт'!AI89+'инообластные на 2025 под факт'!AI89</f>
        <v>7594921</v>
      </c>
      <c r="AJ89" s="30">
        <f>'среднегодовая на 2025 под факт'!AJ89+'инообластные на 2025 под факт'!AJ89</f>
        <v>8048</v>
      </c>
      <c r="AK89" s="30">
        <f>'среднегодовая на 2025 под факт'!AK89+'инообластные на 2025 под факт'!AK89</f>
        <v>10904478</v>
      </c>
      <c r="AL89" s="30"/>
      <c r="AM89" s="30"/>
      <c r="AN89" s="49">
        <f t="shared" si="2"/>
        <v>107929967</v>
      </c>
      <c r="AO89" s="39">
        <f>'среднегодовая на 2025 под факт'!AO89+'инообластные на 2025 под факт'!AO89</f>
        <v>777</v>
      </c>
      <c r="AP89" s="31"/>
      <c r="AQ89" s="40">
        <f>'среднегодовая на 2025 под факт'!AQ89+'инообластные на 2025 под факт'!AQ89</f>
        <v>40874864</v>
      </c>
      <c r="AR89" s="39">
        <f>'среднегодовая на 2025 под факт'!AR89+'инообластные на 2025 под факт'!AR89</f>
        <v>630</v>
      </c>
      <c r="AS89" s="31"/>
      <c r="AT89" s="40">
        <f>'среднегодовая на 2025 под факт'!AT89+'инообластные на 2025 под факт'!AT89</f>
        <v>13269501</v>
      </c>
      <c r="AU89" s="39">
        <f>'среднегодовая на 2025 под факт'!AU89+'инообластные на 2025 под факт'!AU89</f>
        <v>2743</v>
      </c>
      <c r="AV89" s="31">
        <f>'среднегодовая на 2025 под факт'!AV89+'инообластные на 2025 под факт'!AV89</f>
        <v>8866</v>
      </c>
      <c r="AW89" s="31">
        <f>'среднегодовая на 2025 под факт'!AW89+'инообластные на 2025 под факт'!AW89</f>
        <v>2595214</v>
      </c>
      <c r="AX89" s="31"/>
      <c r="AY89" s="31"/>
      <c r="AZ89" s="40"/>
      <c r="BA89" s="35"/>
      <c r="BB89" s="40"/>
      <c r="BC89" s="186">
        <f t="shared" si="1"/>
        <v>164669546</v>
      </c>
    </row>
    <row r="90" spans="1:55" s="1" customFormat="1" ht="31.5" x14ac:dyDescent="0.25">
      <c r="A90" s="283"/>
      <c r="B90" s="283"/>
      <c r="C90" s="18" t="s">
        <v>190</v>
      </c>
      <c r="D90" s="41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50">
        <f t="shared" ref="AN90:AN153" si="3">E90+G90+M90+O90+Q90+S90+AA90+AC90+AE90+AG90+AI90+AK90+AM90+I90+K90+U90+W90</f>
        <v>0</v>
      </c>
      <c r="AO90" s="43"/>
      <c r="AP90" s="27"/>
      <c r="AQ90" s="44"/>
      <c r="AR90" s="43"/>
      <c r="AS90" s="27"/>
      <c r="AT90" s="44"/>
      <c r="AU90" s="43"/>
      <c r="AV90" s="27"/>
      <c r="AW90" s="27"/>
      <c r="AX90" s="27"/>
      <c r="AY90" s="27"/>
      <c r="AZ90" s="44"/>
      <c r="BA90" s="36"/>
      <c r="BB90" s="44"/>
      <c r="BC90" s="192">
        <f t="shared" si="1"/>
        <v>0</v>
      </c>
    </row>
    <row r="91" spans="1:55" s="1" customFormat="1" x14ac:dyDescent="0.25">
      <c r="A91" s="283"/>
      <c r="B91" s="283"/>
      <c r="C91" s="19" t="s">
        <v>191</v>
      </c>
      <c r="D91" s="41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50">
        <f t="shared" si="3"/>
        <v>0</v>
      </c>
      <c r="AO91" s="43"/>
      <c r="AP91" s="27"/>
      <c r="AQ91" s="44"/>
      <c r="AR91" s="43"/>
      <c r="AS91" s="27"/>
      <c r="AT91" s="44"/>
      <c r="AU91" s="43"/>
      <c r="AV91" s="27"/>
      <c r="AW91" s="27"/>
      <c r="AX91" s="27"/>
      <c r="AY91" s="27"/>
      <c r="AZ91" s="44"/>
      <c r="BA91" s="36"/>
      <c r="BB91" s="44"/>
      <c r="BC91" s="192">
        <f t="shared" si="1"/>
        <v>0</v>
      </c>
    </row>
    <row r="92" spans="1:55" s="1" customFormat="1" x14ac:dyDescent="0.25">
      <c r="A92" s="283"/>
      <c r="B92" s="283"/>
      <c r="C92" s="18" t="s">
        <v>87</v>
      </c>
      <c r="D92" s="41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50">
        <f t="shared" si="3"/>
        <v>0</v>
      </c>
      <c r="AO92" s="43"/>
      <c r="AP92" s="27"/>
      <c r="AQ92" s="44"/>
      <c r="AR92" s="43"/>
      <c r="AS92" s="27"/>
      <c r="AT92" s="44"/>
      <c r="AU92" s="43"/>
      <c r="AV92" s="27"/>
      <c r="AW92" s="27"/>
      <c r="AX92" s="27"/>
      <c r="AY92" s="27"/>
      <c r="AZ92" s="44"/>
      <c r="BA92" s="36"/>
      <c r="BB92" s="44"/>
      <c r="BC92" s="188">
        <f t="shared" si="1"/>
        <v>0</v>
      </c>
    </row>
    <row r="93" spans="1:55" s="1" customFormat="1" x14ac:dyDescent="0.25">
      <c r="A93" s="283"/>
      <c r="B93" s="283"/>
      <c r="C93" s="19" t="s">
        <v>60</v>
      </c>
      <c r="D93" s="41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>
        <f>'среднегодовая на 2025 под факт'!AL93+'инообластные на 2025 под факт'!AL93</f>
        <v>1717</v>
      </c>
      <c r="AM93" s="26">
        <f>'среднегодовая на 2025 под факт'!AM93+'инообластные на 2025 под факт'!AM93</f>
        <v>159301</v>
      </c>
      <c r="AN93" s="50">
        <f t="shared" si="3"/>
        <v>159301</v>
      </c>
      <c r="AO93" s="43"/>
      <c r="AP93" s="27"/>
      <c r="AQ93" s="44"/>
      <c r="AR93" s="43"/>
      <c r="AS93" s="27"/>
      <c r="AT93" s="44"/>
      <c r="AU93" s="43"/>
      <c r="AV93" s="27"/>
      <c r="AW93" s="27"/>
      <c r="AX93" s="27"/>
      <c r="AY93" s="27"/>
      <c r="AZ93" s="44"/>
      <c r="BA93" s="36"/>
      <c r="BB93" s="44"/>
      <c r="BC93" s="188">
        <f t="shared" si="1"/>
        <v>159301</v>
      </c>
    </row>
    <row r="94" spans="1:55" s="1" customFormat="1" x14ac:dyDescent="0.25">
      <c r="A94" s="283"/>
      <c r="B94" s="283"/>
      <c r="C94" s="18" t="s">
        <v>74</v>
      </c>
      <c r="D94" s="41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>
        <f>'среднегодовая на 2025 под факт'!AL94+'инообластные на 2025 под факт'!AL94</f>
        <v>926</v>
      </c>
      <c r="AM94" s="26">
        <f>'среднегодовая на 2025 под факт'!AM94+'инообластные на 2025 под факт'!AM94</f>
        <v>1136343</v>
      </c>
      <c r="AN94" s="50">
        <f t="shared" si="3"/>
        <v>1136343</v>
      </c>
      <c r="AO94" s="43"/>
      <c r="AP94" s="27"/>
      <c r="AQ94" s="44"/>
      <c r="AR94" s="43"/>
      <c r="AS94" s="27"/>
      <c r="AT94" s="44"/>
      <c r="AU94" s="43"/>
      <c r="AV94" s="27"/>
      <c r="AW94" s="27"/>
      <c r="AX94" s="27"/>
      <c r="AY94" s="27"/>
      <c r="AZ94" s="44"/>
      <c r="BA94" s="36"/>
      <c r="BB94" s="44"/>
      <c r="BC94" s="188">
        <f t="shared" ref="BC94:BC151" si="4">AN94+AQ94+AT94+AW94+BB94+AZ94</f>
        <v>1136343</v>
      </c>
    </row>
    <row r="95" spans="1:55" s="1" customFormat="1" x14ac:dyDescent="0.25">
      <c r="A95" s="283"/>
      <c r="B95" s="283"/>
      <c r="C95" s="18" t="s">
        <v>185</v>
      </c>
      <c r="D95" s="41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>
        <f>'среднегодовая на 2025 под факт'!AL95+'инообластные на 2025 под факт'!AL95</f>
        <v>586</v>
      </c>
      <c r="AM95" s="26">
        <f>'среднегодовая на 2025 под факт'!AM95+'инообластные на 2025 под факт'!AM95</f>
        <v>405507</v>
      </c>
      <c r="AN95" s="50">
        <f t="shared" si="3"/>
        <v>405507</v>
      </c>
      <c r="AO95" s="43"/>
      <c r="AP95" s="27"/>
      <c r="AQ95" s="44"/>
      <c r="AR95" s="43"/>
      <c r="AS95" s="27"/>
      <c r="AT95" s="44"/>
      <c r="AU95" s="43"/>
      <c r="AV95" s="27"/>
      <c r="AW95" s="27"/>
      <c r="AX95" s="27"/>
      <c r="AY95" s="27"/>
      <c r="AZ95" s="44"/>
      <c r="BA95" s="36"/>
      <c r="BB95" s="44"/>
      <c r="BC95" s="188">
        <f t="shared" si="4"/>
        <v>405507</v>
      </c>
    </row>
    <row r="96" spans="1:55" s="1" customFormat="1" ht="31.5" x14ac:dyDescent="0.25">
      <c r="A96" s="283"/>
      <c r="B96" s="283"/>
      <c r="C96" s="18" t="s">
        <v>181</v>
      </c>
      <c r="D96" s="41">
        <f>'среднегодовая на 2025 под факт'!D96+'инообластные на 2025 под факт'!D96</f>
        <v>90</v>
      </c>
      <c r="E96" s="26">
        <f>'среднегодовая на 2025 под факт'!E96+'инообластные на 2025 под факт'!E96</f>
        <v>56863</v>
      </c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50">
        <f t="shared" si="3"/>
        <v>56863</v>
      </c>
      <c r="AO96" s="43"/>
      <c r="AP96" s="27"/>
      <c r="AQ96" s="44"/>
      <c r="AR96" s="43"/>
      <c r="AS96" s="27"/>
      <c r="AT96" s="44"/>
      <c r="AU96" s="43"/>
      <c r="AV96" s="27"/>
      <c r="AW96" s="27"/>
      <c r="AX96" s="27"/>
      <c r="AY96" s="27"/>
      <c r="AZ96" s="44"/>
      <c r="BA96" s="36"/>
      <c r="BB96" s="44"/>
      <c r="BC96" s="188">
        <f t="shared" si="4"/>
        <v>56863</v>
      </c>
    </row>
    <row r="97" spans="1:55" s="1" customFormat="1" ht="31.5" x14ac:dyDescent="0.25">
      <c r="A97" s="283"/>
      <c r="B97" s="283"/>
      <c r="C97" s="18" t="s">
        <v>182</v>
      </c>
      <c r="D97" s="41">
        <f>'среднегодовая на 2025 под факт'!D97+'инообластные на 2025 под факт'!D97</f>
        <v>6</v>
      </c>
      <c r="E97" s="26">
        <f>'среднегодовая на 2025 под факт'!E97+'инообластные на 2025 под факт'!E97</f>
        <v>6579</v>
      </c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50">
        <f t="shared" si="3"/>
        <v>6579</v>
      </c>
      <c r="AO97" s="43"/>
      <c r="AP97" s="27"/>
      <c r="AQ97" s="44"/>
      <c r="AR97" s="43"/>
      <c r="AS97" s="27"/>
      <c r="AT97" s="44"/>
      <c r="AU97" s="43"/>
      <c r="AV97" s="27"/>
      <c r="AW97" s="27"/>
      <c r="AX97" s="27"/>
      <c r="AY97" s="27"/>
      <c r="AZ97" s="44"/>
      <c r="BA97" s="36"/>
      <c r="BB97" s="44"/>
      <c r="BC97" s="188">
        <f t="shared" si="4"/>
        <v>6579</v>
      </c>
    </row>
    <row r="98" spans="1:55" s="1" customFormat="1" x14ac:dyDescent="0.25">
      <c r="A98" s="283"/>
      <c r="B98" s="283"/>
      <c r="C98" s="21" t="s">
        <v>183</v>
      </c>
      <c r="D98" s="41">
        <f>'среднегодовая на 2025 под факт'!D98+'инообластные на 2025 под факт'!D98</f>
        <v>901</v>
      </c>
      <c r="E98" s="26">
        <f>'среднегодовая на 2025 под факт'!E98+'инообластные на 2025 под факт'!E98</f>
        <v>525894</v>
      </c>
      <c r="F98" s="26">
        <f>'среднегодовая на 2025 под факт'!F98+'инообластные на 2025 под факт'!F98</f>
        <v>32</v>
      </c>
      <c r="G98" s="26">
        <f>'среднегодовая на 2025 под факт'!G98+'инообластные на 2025 под факт'!G98</f>
        <v>39972</v>
      </c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50">
        <f t="shared" si="3"/>
        <v>565866</v>
      </c>
      <c r="AO98" s="43"/>
      <c r="AP98" s="27"/>
      <c r="AQ98" s="44"/>
      <c r="AR98" s="43"/>
      <c r="AS98" s="27"/>
      <c r="AT98" s="44"/>
      <c r="AU98" s="43"/>
      <c r="AV98" s="27"/>
      <c r="AW98" s="27"/>
      <c r="AX98" s="27"/>
      <c r="AY98" s="27"/>
      <c r="AZ98" s="44"/>
      <c r="BA98" s="36"/>
      <c r="BB98" s="44"/>
      <c r="BC98" s="190">
        <f t="shared" si="4"/>
        <v>565866</v>
      </c>
    </row>
    <row r="99" spans="1:55" s="1" customFormat="1" ht="31.5" x14ac:dyDescent="0.25">
      <c r="A99" s="283"/>
      <c r="B99" s="283"/>
      <c r="C99" s="21" t="s">
        <v>184</v>
      </c>
      <c r="D99" s="41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50">
        <f t="shared" si="3"/>
        <v>0</v>
      </c>
      <c r="AO99" s="43"/>
      <c r="AP99" s="27"/>
      <c r="AQ99" s="44"/>
      <c r="AR99" s="43"/>
      <c r="AS99" s="27"/>
      <c r="AT99" s="44"/>
      <c r="AU99" s="43"/>
      <c r="AV99" s="27"/>
      <c r="AW99" s="27"/>
      <c r="AX99" s="27"/>
      <c r="AY99" s="27"/>
      <c r="AZ99" s="44"/>
      <c r="BA99" s="36"/>
      <c r="BB99" s="44"/>
      <c r="BC99" s="190">
        <f t="shared" si="4"/>
        <v>0</v>
      </c>
    </row>
    <row r="100" spans="1:55" s="1" customFormat="1" x14ac:dyDescent="0.25">
      <c r="A100" s="283"/>
      <c r="B100" s="283"/>
      <c r="C100" s="18" t="s">
        <v>179</v>
      </c>
      <c r="D100" s="41">
        <f>'среднегодовая на 2025 под факт'!D100+'инообластные на 2025 под факт'!D100</f>
        <v>61</v>
      </c>
      <c r="E100" s="26">
        <f>'среднегодовая на 2025 под факт'!E100+'инообластные на 2025 под факт'!E100</f>
        <v>204068</v>
      </c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50">
        <f t="shared" si="3"/>
        <v>204068</v>
      </c>
      <c r="AO100" s="43"/>
      <c r="AP100" s="27"/>
      <c r="AQ100" s="44"/>
      <c r="AR100" s="43"/>
      <c r="AS100" s="27"/>
      <c r="AT100" s="44"/>
      <c r="AU100" s="43"/>
      <c r="AV100" s="27"/>
      <c r="AW100" s="27"/>
      <c r="AX100" s="27"/>
      <c r="AY100" s="27"/>
      <c r="AZ100" s="44"/>
      <c r="BA100" s="36"/>
      <c r="BB100" s="44"/>
      <c r="BC100" s="190">
        <f t="shared" si="4"/>
        <v>204068</v>
      </c>
    </row>
    <row r="101" spans="1:55" s="1" customFormat="1" ht="16.5" thickBot="1" x14ac:dyDescent="0.3">
      <c r="A101" s="284"/>
      <c r="B101" s="284"/>
      <c r="C101" s="21" t="s">
        <v>148</v>
      </c>
      <c r="D101" s="54"/>
      <c r="E101" s="32">
        <f>'среднегодовая на 2025 под факт'!E101+'инообластные на 2025 под факт'!E101</f>
        <v>894099</v>
      </c>
      <c r="F101" s="32"/>
      <c r="G101" s="32">
        <f>'среднегодовая на 2025 под факт'!G101+'инообластные на 2025 под факт'!G101</f>
        <v>136103</v>
      </c>
      <c r="H101" s="32"/>
      <c r="I101" s="32">
        <f>'среднегодовая на 2025 под факт'!I101+'инообластные на 2025 под факт'!I101</f>
        <v>1199238</v>
      </c>
      <c r="J101" s="32"/>
      <c r="K101" s="32">
        <f>'среднегодовая на 2025 под факт'!K101+'инообластные на 2025 под факт'!K101</f>
        <v>18750</v>
      </c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51">
        <f t="shared" si="3"/>
        <v>2248190</v>
      </c>
      <c r="AO101" s="45"/>
      <c r="AP101" s="33"/>
      <c r="AQ101" s="46"/>
      <c r="AR101" s="45"/>
      <c r="AS101" s="33"/>
      <c r="AT101" s="46"/>
      <c r="AU101" s="45"/>
      <c r="AV101" s="33"/>
      <c r="AW101" s="33"/>
      <c r="AX101" s="33"/>
      <c r="AY101" s="33"/>
      <c r="AZ101" s="46"/>
      <c r="BA101" s="37"/>
      <c r="BB101" s="46"/>
      <c r="BC101" s="189">
        <f t="shared" si="4"/>
        <v>2248190</v>
      </c>
    </row>
    <row r="102" spans="1:55" s="1" customFormat="1" x14ac:dyDescent="0.25">
      <c r="A102" s="282">
        <v>12</v>
      </c>
      <c r="B102" s="282">
        <v>790014</v>
      </c>
      <c r="C102" s="17" t="s">
        <v>16</v>
      </c>
      <c r="D102" s="73">
        <f>'среднегодовая на 2025 под факт'!D102+'инообластные на 2025 под факт'!D102</f>
        <v>24081</v>
      </c>
      <c r="E102" s="30">
        <f>'среднегодовая на 2025 под факт'!E102+'инообластные на 2025 под факт'!E102</f>
        <v>29671210</v>
      </c>
      <c r="F102" s="30">
        <f>'среднегодовая на 2025 под факт'!F102+'инообластные на 2025 под факт'!F102</f>
        <v>7179</v>
      </c>
      <c r="G102" s="30">
        <f>'среднегодовая на 2025 под факт'!G102+'инообластные на 2025 под факт'!G102</f>
        <v>26016664</v>
      </c>
      <c r="H102" s="30">
        <f>'среднегодовая на 2025 под факт'!H102+'инообластные на 2025 под факт'!H102</f>
        <v>2489</v>
      </c>
      <c r="I102" s="30">
        <f>'среднегодовая на 2025 под факт'!I102+'инообластные на 2025 под факт'!I102</f>
        <v>4144710</v>
      </c>
      <c r="J102" s="30">
        <f>'среднегодовая на 2025 под факт'!J102+'инообластные на 2025 под факт'!J102</f>
        <v>467</v>
      </c>
      <c r="K102" s="30">
        <f>'среднегодовая на 2025 под факт'!K102+'инообластные на 2025 под факт'!K102</f>
        <v>3486469</v>
      </c>
      <c r="L102" s="30">
        <f>'среднегодовая на 2025 под факт'!L102+'инообластные на 2025 под факт'!L102</f>
        <v>47</v>
      </c>
      <c r="M102" s="30">
        <f>'среднегодовая на 2025 под факт'!M102+'инообластные на 2025 под факт'!M102</f>
        <v>97561</v>
      </c>
      <c r="N102" s="30"/>
      <c r="O102" s="30"/>
      <c r="P102" s="30">
        <f>'среднегодовая на 2025 под факт'!P102+'инообластные на 2025 под факт'!P102</f>
        <v>107</v>
      </c>
      <c r="Q102" s="30">
        <f>'среднегодовая на 2025 под факт'!Q102+'инообластные на 2025 под факт'!Q102</f>
        <v>209317</v>
      </c>
      <c r="R102" s="30">
        <f>'среднегодовая на 2025 под факт'!R102+'инообластные на 2025 под факт'!R102</f>
        <v>63</v>
      </c>
      <c r="S102" s="30">
        <f>'среднегодовая на 2025 под факт'!S102+'инообластные на 2025 под факт'!S102</f>
        <v>275444</v>
      </c>
      <c r="T102" s="30"/>
      <c r="U102" s="30"/>
      <c r="V102" s="30"/>
      <c r="W102" s="30"/>
      <c r="X102" s="30">
        <f>'среднегодовая на 2025 под факт'!X102+'инообластные на 2025 под факт'!X102</f>
        <v>2364</v>
      </c>
      <c r="Y102" s="30">
        <f>'среднегодовая на 2025 под факт'!Y102+'инообластные на 2025 под факт'!Y102</f>
        <v>585</v>
      </c>
      <c r="Z102" s="30">
        <f>'среднегодовая на 2025 под факт'!Z102+'инообластные на 2025 под факт'!Z102</f>
        <v>44</v>
      </c>
      <c r="AA102" s="30">
        <f>'среднегодовая на 2025 под факт'!AA102+'инообластные на 2025 под факт'!AA102</f>
        <v>7238547</v>
      </c>
      <c r="AB102" s="30">
        <f>'среднегодовая на 2025 под факт'!AB102+'инообластные на 2025 под факт'!AB102</f>
        <v>557</v>
      </c>
      <c r="AC102" s="30">
        <f>'среднегодовая на 2025 под факт'!AC102+'инообластные на 2025 под факт'!AC102</f>
        <v>2445992</v>
      </c>
      <c r="AD102" s="30">
        <f>'среднегодовая на 2025 под факт'!AD102+'инообластные на 2025 под факт'!AD102</f>
        <v>0</v>
      </c>
      <c r="AE102" s="30">
        <f>'среднегодовая на 2025 под факт'!AE102+'инообластные на 2025 под факт'!AE102</f>
        <v>0</v>
      </c>
      <c r="AF102" s="30">
        <f>'среднегодовая на 2025 под факт'!AF102+'инообластные на 2025 под факт'!AF102</f>
        <v>422</v>
      </c>
      <c r="AG102" s="30">
        <f>'среднегодовая на 2025 под факт'!AG102+'инообластные на 2025 под факт'!AG102</f>
        <v>755566</v>
      </c>
      <c r="AH102" s="30">
        <f>'среднегодовая на 2025 под факт'!AH102+'инообластные на 2025 под факт'!AH102</f>
        <v>1303</v>
      </c>
      <c r="AI102" s="30">
        <f>'среднегодовая на 2025 под факт'!AI102+'инообластные на 2025 под факт'!AI102</f>
        <v>4004802</v>
      </c>
      <c r="AJ102" s="30">
        <f>'среднегодовая на 2025 под факт'!AJ102+'инообластные на 2025 под факт'!AJ102</f>
        <v>5600</v>
      </c>
      <c r="AK102" s="30">
        <f>'среднегодовая на 2025 под факт'!AK102+'инообластные на 2025 под факт'!AK102</f>
        <v>7587609</v>
      </c>
      <c r="AL102" s="30"/>
      <c r="AM102" s="30"/>
      <c r="AN102" s="49">
        <f t="shared" si="3"/>
        <v>85933891</v>
      </c>
      <c r="AO102" s="39">
        <f>'среднегодовая на 2025 под факт'!AO102+'инообластные на 2025 под факт'!AO102</f>
        <v>1174</v>
      </c>
      <c r="AP102" s="31"/>
      <c r="AQ102" s="40">
        <f>'среднегодовая на 2025 под факт'!AQ102+'инообластные на 2025 под факт'!AQ102</f>
        <v>45376512</v>
      </c>
      <c r="AR102" s="39">
        <f>'среднегодовая на 2025 под факт'!AR102+'инообластные на 2025 под факт'!AR102</f>
        <v>109</v>
      </c>
      <c r="AS102" s="31"/>
      <c r="AT102" s="40">
        <f>'среднегодовая на 2025 под факт'!AT102+'инообластные на 2025 под факт'!AT102</f>
        <v>2184445</v>
      </c>
      <c r="AU102" s="39">
        <f>'среднегодовая на 2025 под факт'!AU102+'инообластные на 2025 под факт'!AU102</f>
        <v>4612</v>
      </c>
      <c r="AV102" s="31">
        <f>'среднегодовая на 2025 под факт'!AV102+'инообластные на 2025 под факт'!AV102</f>
        <v>25668</v>
      </c>
      <c r="AW102" s="31">
        <f>'среднегодовая на 2025 под факт'!AW102+'инообластные на 2025 под факт'!AW102</f>
        <v>7514107</v>
      </c>
      <c r="AX102" s="31"/>
      <c r="AY102" s="31"/>
      <c r="AZ102" s="40"/>
      <c r="BA102" s="35"/>
      <c r="BB102" s="40"/>
      <c r="BC102" s="186">
        <f t="shared" si="4"/>
        <v>141008955</v>
      </c>
    </row>
    <row r="103" spans="1:55" s="1" customFormat="1" ht="31.5" x14ac:dyDescent="0.25">
      <c r="A103" s="283"/>
      <c r="B103" s="283"/>
      <c r="C103" s="18" t="s">
        <v>190</v>
      </c>
      <c r="D103" s="41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50">
        <f t="shared" si="3"/>
        <v>0</v>
      </c>
      <c r="AO103" s="43"/>
      <c r="AP103" s="27"/>
      <c r="AQ103" s="44"/>
      <c r="AR103" s="43"/>
      <c r="AS103" s="27"/>
      <c r="AT103" s="44"/>
      <c r="AU103" s="43"/>
      <c r="AV103" s="27"/>
      <c r="AW103" s="27"/>
      <c r="AX103" s="27"/>
      <c r="AY103" s="27"/>
      <c r="AZ103" s="44"/>
      <c r="BA103" s="36"/>
      <c r="BB103" s="44"/>
      <c r="BC103" s="188">
        <f t="shared" si="4"/>
        <v>0</v>
      </c>
    </row>
    <row r="104" spans="1:55" s="1" customFormat="1" x14ac:dyDescent="0.25">
      <c r="A104" s="283"/>
      <c r="B104" s="283"/>
      <c r="C104" s="19" t="s">
        <v>191</v>
      </c>
      <c r="D104" s="41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50">
        <f t="shared" si="3"/>
        <v>0</v>
      </c>
      <c r="AO104" s="43"/>
      <c r="AP104" s="27"/>
      <c r="AQ104" s="44"/>
      <c r="AR104" s="43"/>
      <c r="AS104" s="27"/>
      <c r="AT104" s="44"/>
      <c r="AU104" s="43"/>
      <c r="AV104" s="27"/>
      <c r="AW104" s="27"/>
      <c r="AX104" s="27"/>
      <c r="AY104" s="27"/>
      <c r="AZ104" s="44"/>
      <c r="BA104" s="36"/>
      <c r="BB104" s="44"/>
      <c r="BC104" s="192">
        <f t="shared" si="4"/>
        <v>0</v>
      </c>
    </row>
    <row r="105" spans="1:55" s="1" customFormat="1" x14ac:dyDescent="0.25">
      <c r="A105" s="283"/>
      <c r="B105" s="283"/>
      <c r="C105" s="18" t="s">
        <v>87</v>
      </c>
      <c r="D105" s="41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50">
        <f t="shared" si="3"/>
        <v>0</v>
      </c>
      <c r="AO105" s="43"/>
      <c r="AP105" s="27"/>
      <c r="AQ105" s="44"/>
      <c r="AR105" s="43"/>
      <c r="AS105" s="27"/>
      <c r="AT105" s="44"/>
      <c r="AU105" s="43"/>
      <c r="AV105" s="27"/>
      <c r="AW105" s="27"/>
      <c r="AX105" s="27"/>
      <c r="AY105" s="27"/>
      <c r="AZ105" s="44"/>
      <c r="BA105" s="36"/>
      <c r="BB105" s="44"/>
      <c r="BC105" s="188">
        <f t="shared" si="4"/>
        <v>0</v>
      </c>
    </row>
    <row r="106" spans="1:55" s="1" customFormat="1" x14ac:dyDescent="0.25">
      <c r="A106" s="283"/>
      <c r="B106" s="283"/>
      <c r="C106" s="19" t="s">
        <v>60</v>
      </c>
      <c r="D106" s="41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>
        <f>'среднегодовая на 2025 под факт'!AL106+'инообластные на 2025 под факт'!AL106</f>
        <v>1739</v>
      </c>
      <c r="AM106" s="26">
        <f>'среднегодовая на 2025 под факт'!AM106+'инообластные на 2025 под факт'!AM106</f>
        <v>156215</v>
      </c>
      <c r="AN106" s="50">
        <f t="shared" si="3"/>
        <v>156215</v>
      </c>
      <c r="AO106" s="43"/>
      <c r="AP106" s="27"/>
      <c r="AQ106" s="44"/>
      <c r="AR106" s="43"/>
      <c r="AS106" s="27"/>
      <c r="AT106" s="44"/>
      <c r="AU106" s="43"/>
      <c r="AV106" s="27"/>
      <c r="AW106" s="27"/>
      <c r="AX106" s="27"/>
      <c r="AY106" s="27"/>
      <c r="AZ106" s="44"/>
      <c r="BA106" s="36"/>
      <c r="BB106" s="44"/>
      <c r="BC106" s="188">
        <f>AN106+AQ106+AT106+AW106+BB106+AZ106</f>
        <v>156215</v>
      </c>
    </row>
    <row r="107" spans="1:55" s="1" customFormat="1" x14ac:dyDescent="0.25">
      <c r="A107" s="283"/>
      <c r="B107" s="283"/>
      <c r="C107" s="18" t="s">
        <v>75</v>
      </c>
      <c r="D107" s="41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>
        <f>'среднегодовая на 2025 под факт'!AL107+'инообластные на 2025 под факт'!AL107</f>
        <v>67</v>
      </c>
      <c r="AM107" s="26">
        <f>'среднегодовая на 2025 под факт'!AM107+'инообластные на 2025 под факт'!AM107</f>
        <v>72726</v>
      </c>
      <c r="AN107" s="50">
        <f t="shared" si="3"/>
        <v>72726</v>
      </c>
      <c r="AO107" s="43"/>
      <c r="AP107" s="27"/>
      <c r="AQ107" s="44"/>
      <c r="AR107" s="43"/>
      <c r="AS107" s="27"/>
      <c r="AT107" s="44"/>
      <c r="AU107" s="43"/>
      <c r="AV107" s="27"/>
      <c r="AW107" s="27"/>
      <c r="AX107" s="27"/>
      <c r="AY107" s="27"/>
      <c r="AZ107" s="44"/>
      <c r="BA107" s="36"/>
      <c r="BB107" s="44"/>
      <c r="BC107" s="188">
        <f t="shared" si="4"/>
        <v>72726</v>
      </c>
    </row>
    <row r="108" spans="1:55" s="1" customFormat="1" x14ac:dyDescent="0.25">
      <c r="A108" s="283"/>
      <c r="B108" s="283"/>
      <c r="C108" s="18" t="s">
        <v>56</v>
      </c>
      <c r="D108" s="41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>
        <f>'среднегодовая на 2025 под факт'!AL108+'инообластные на 2025 под факт'!AL108</f>
        <v>181</v>
      </c>
      <c r="AM108" s="26">
        <f>'среднегодовая на 2025 под факт'!AM108+'инообластные на 2025 под факт'!AM108</f>
        <v>175819</v>
      </c>
      <c r="AN108" s="50">
        <f t="shared" si="3"/>
        <v>175819</v>
      </c>
      <c r="AO108" s="43"/>
      <c r="AP108" s="27"/>
      <c r="AQ108" s="44"/>
      <c r="AR108" s="43"/>
      <c r="AS108" s="27"/>
      <c r="AT108" s="44"/>
      <c r="AU108" s="43"/>
      <c r="AV108" s="27"/>
      <c r="AW108" s="27"/>
      <c r="AX108" s="27"/>
      <c r="AY108" s="27"/>
      <c r="AZ108" s="44"/>
      <c r="BA108" s="36"/>
      <c r="BB108" s="44"/>
      <c r="BC108" s="188">
        <f t="shared" si="4"/>
        <v>175819</v>
      </c>
    </row>
    <row r="109" spans="1:55" s="1" customFormat="1" x14ac:dyDescent="0.25">
      <c r="A109" s="283"/>
      <c r="B109" s="283"/>
      <c r="C109" s="18" t="s">
        <v>111</v>
      </c>
      <c r="D109" s="41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>
        <f>'среднегодовая на 2025 под факт'!AL109+'инообластные на 2025 под факт'!AL109</f>
        <v>50</v>
      </c>
      <c r="AM109" s="26">
        <f>'среднегодовая на 2025 под факт'!AM109+'инообластные на 2025 под факт'!AM109</f>
        <v>125827</v>
      </c>
      <c r="AN109" s="50">
        <f t="shared" si="3"/>
        <v>125827</v>
      </c>
      <c r="AO109" s="43"/>
      <c r="AP109" s="27"/>
      <c r="AQ109" s="44"/>
      <c r="AR109" s="43"/>
      <c r="AS109" s="27"/>
      <c r="AT109" s="44"/>
      <c r="AU109" s="43"/>
      <c r="AV109" s="27"/>
      <c r="AW109" s="27"/>
      <c r="AX109" s="27"/>
      <c r="AY109" s="27"/>
      <c r="AZ109" s="44"/>
      <c r="BA109" s="36"/>
      <c r="BB109" s="44"/>
      <c r="BC109" s="188">
        <f t="shared" si="4"/>
        <v>125827</v>
      </c>
    </row>
    <row r="110" spans="1:55" s="1" customFormat="1" x14ac:dyDescent="0.25">
      <c r="A110" s="283"/>
      <c r="B110" s="283"/>
      <c r="C110" s="18" t="s">
        <v>112</v>
      </c>
      <c r="D110" s="41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>
        <f>'среднегодовая на 2025 под факт'!AL110+'инообластные на 2025 под факт'!AL110</f>
        <v>153</v>
      </c>
      <c r="AM110" s="26">
        <f>'среднегодовая на 2025 под факт'!AM110+'инообластные на 2025 под факт'!AM110</f>
        <v>192518</v>
      </c>
      <c r="AN110" s="50">
        <f t="shared" si="3"/>
        <v>192518</v>
      </c>
      <c r="AO110" s="43"/>
      <c r="AP110" s="27"/>
      <c r="AQ110" s="44"/>
      <c r="AR110" s="43"/>
      <c r="AS110" s="27"/>
      <c r="AT110" s="44"/>
      <c r="AU110" s="43"/>
      <c r="AV110" s="27"/>
      <c r="AW110" s="27"/>
      <c r="AX110" s="27"/>
      <c r="AY110" s="27"/>
      <c r="AZ110" s="44"/>
      <c r="BA110" s="36"/>
      <c r="BB110" s="44"/>
      <c r="BC110" s="188">
        <f t="shared" si="4"/>
        <v>192518</v>
      </c>
    </row>
    <row r="111" spans="1:55" s="1" customFormat="1" ht="31.5" x14ac:dyDescent="0.25">
      <c r="A111" s="283"/>
      <c r="B111" s="283"/>
      <c r="C111" s="18" t="s">
        <v>180</v>
      </c>
      <c r="D111" s="41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50">
        <f t="shared" si="3"/>
        <v>0</v>
      </c>
      <c r="AO111" s="43"/>
      <c r="AP111" s="27"/>
      <c r="AQ111" s="44">
        <f>'среднегодовая на 2025 под факт'!AQ111+'инообластные на 2025 под факт'!AQ111</f>
        <v>104956900</v>
      </c>
      <c r="AR111" s="43"/>
      <c r="AS111" s="27"/>
      <c r="AT111" s="44"/>
      <c r="AU111" s="43"/>
      <c r="AV111" s="27"/>
      <c r="AW111" s="27"/>
      <c r="AX111" s="27"/>
      <c r="AY111" s="27"/>
      <c r="AZ111" s="44"/>
      <c r="BA111" s="36"/>
      <c r="BB111" s="44"/>
      <c r="BC111" s="188">
        <f t="shared" si="4"/>
        <v>104956900</v>
      </c>
    </row>
    <row r="112" spans="1:55" s="1" customFormat="1" ht="16.5" thickBot="1" x14ac:dyDescent="0.3">
      <c r="A112" s="284"/>
      <c r="B112" s="284"/>
      <c r="C112" s="22" t="s">
        <v>148</v>
      </c>
      <c r="D112" s="54"/>
      <c r="E112" s="32">
        <f>'среднегодовая на 2025 под факт'!E112+'инообластные на 2025 под факт'!E112</f>
        <v>815058</v>
      </c>
      <c r="F112" s="32"/>
      <c r="G112" s="32">
        <f>'среднегодовая на 2025 под факт'!G112+'инообластные на 2025 под факт'!G112</f>
        <v>712195</v>
      </c>
      <c r="H112" s="32"/>
      <c r="I112" s="32">
        <f>'среднегодовая на 2025 под факт'!I112+'инообластные на 2025 под факт'!I112</f>
        <v>113793</v>
      </c>
      <c r="J112" s="32"/>
      <c r="K112" s="32">
        <f>'среднегодовая на 2025 под факт'!K112+'инообластные на 2025 под факт'!K112</f>
        <v>96330</v>
      </c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51">
        <f t="shared" si="3"/>
        <v>1737376</v>
      </c>
      <c r="AO112" s="45"/>
      <c r="AP112" s="33"/>
      <c r="AQ112" s="46"/>
      <c r="AR112" s="45"/>
      <c r="AS112" s="33"/>
      <c r="AT112" s="46"/>
      <c r="AU112" s="45"/>
      <c r="AV112" s="33"/>
      <c r="AW112" s="33"/>
      <c r="AX112" s="33"/>
      <c r="AY112" s="33"/>
      <c r="AZ112" s="46"/>
      <c r="BA112" s="37"/>
      <c r="BB112" s="46"/>
      <c r="BC112" s="189">
        <f t="shared" si="4"/>
        <v>1737376</v>
      </c>
    </row>
    <row r="113" spans="1:55" s="1" customFormat="1" ht="32.25" thickBot="1" x14ac:dyDescent="0.3">
      <c r="A113" s="101">
        <v>13</v>
      </c>
      <c r="B113" s="94">
        <v>790019</v>
      </c>
      <c r="C113" s="204" t="s">
        <v>123</v>
      </c>
      <c r="D113" s="77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60">
        <f t="shared" si="3"/>
        <v>0</v>
      </c>
      <c r="AO113" s="56"/>
      <c r="AP113" s="57"/>
      <c r="AQ113" s="58"/>
      <c r="AR113" s="56"/>
      <c r="AS113" s="57"/>
      <c r="AT113" s="58"/>
      <c r="AU113" s="56"/>
      <c r="AV113" s="57"/>
      <c r="AW113" s="57"/>
      <c r="AX113" s="57"/>
      <c r="AY113" s="57"/>
      <c r="AZ113" s="58"/>
      <c r="BA113" s="59"/>
      <c r="BB113" s="58"/>
      <c r="BC113" s="191">
        <f t="shared" si="4"/>
        <v>0</v>
      </c>
    </row>
    <row r="114" spans="1:55" s="1" customFormat="1" x14ac:dyDescent="0.25">
      <c r="A114" s="282">
        <v>14</v>
      </c>
      <c r="B114" s="282">
        <v>790021</v>
      </c>
      <c r="C114" s="96" t="s">
        <v>11</v>
      </c>
      <c r="D114" s="73">
        <f>'среднегодовая на 2025 под факт'!D114+'инообластные на 2025 под факт'!D114</f>
        <v>15350</v>
      </c>
      <c r="E114" s="30">
        <f>'среднегодовая на 2025 под факт'!E114+'инообластные на 2025 под факт'!E114</f>
        <v>12860716</v>
      </c>
      <c r="F114" s="30">
        <f>'среднегодовая на 2025 под факт'!F114+'инообластные на 2025 под факт'!F114</f>
        <v>5337</v>
      </c>
      <c r="G114" s="30">
        <f>'среднегодовая на 2025 под факт'!G114+'инообластные на 2025 под факт'!G114</f>
        <v>18116335</v>
      </c>
      <c r="H114" s="30">
        <f>'среднегодовая на 2025 под факт'!H114+'инообластные на 2025 под факт'!H114</f>
        <v>368</v>
      </c>
      <c r="I114" s="30">
        <f>'среднегодовая на 2025 под факт'!I114+'инообластные на 2025 под факт'!I114</f>
        <v>264434</v>
      </c>
      <c r="J114" s="30">
        <f>'среднегодовая на 2025 под факт'!J114+'инообластные на 2025 под факт'!J114</f>
        <v>304</v>
      </c>
      <c r="K114" s="30">
        <f>'среднегодовая на 2025 под факт'!K114+'инообластные на 2025 под факт'!K114</f>
        <v>691429</v>
      </c>
      <c r="L114" s="30">
        <f>'среднегодовая на 2025 под факт'!L114+'инообластные на 2025 под факт'!L114</f>
        <v>0</v>
      </c>
      <c r="M114" s="30">
        <f>'среднегодовая на 2025 под факт'!M114+'инообластные на 2025 под факт'!M114</f>
        <v>0</v>
      </c>
      <c r="N114" s="30">
        <f>'среднегодовая на 2025 под факт'!N114+'инообластные на 2025 под факт'!N114</f>
        <v>1484</v>
      </c>
      <c r="O114" s="30">
        <f>'среднегодовая на 2025 под факт'!O114+'инообластные на 2025 под факт'!O114</f>
        <v>8341618</v>
      </c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49">
        <f t="shared" si="3"/>
        <v>40274532</v>
      </c>
      <c r="AO114" s="39">
        <f>'среднегодовая на 2025 под факт'!AO114+'инообластные на 2025 под факт'!AO114</f>
        <v>1700</v>
      </c>
      <c r="AP114" s="31"/>
      <c r="AQ114" s="40">
        <f>'среднегодовая на 2025 под факт'!AQ114+'инообластные на 2025 под факт'!AQ114</f>
        <v>227067779</v>
      </c>
      <c r="AR114" s="39">
        <f>'среднегодовая на 2025 под факт'!AR114+'инообластные на 2025 под факт'!AR114</f>
        <v>1690</v>
      </c>
      <c r="AS114" s="31"/>
      <c r="AT114" s="40">
        <f>'среднегодовая на 2025 под факт'!AT114+'инообластные на 2025 под факт'!AT114</f>
        <v>308630934</v>
      </c>
      <c r="AU114" s="39"/>
      <c r="AV114" s="31"/>
      <c r="AW114" s="31"/>
      <c r="AX114" s="31"/>
      <c r="AY114" s="31"/>
      <c r="AZ114" s="40"/>
      <c r="BA114" s="35"/>
      <c r="BB114" s="40"/>
      <c r="BC114" s="186">
        <f t="shared" si="4"/>
        <v>575973245</v>
      </c>
    </row>
    <row r="115" spans="1:55" s="1" customFormat="1" x14ac:dyDescent="0.25">
      <c r="A115" s="283"/>
      <c r="B115" s="283"/>
      <c r="C115" s="19" t="s">
        <v>119</v>
      </c>
      <c r="D115" s="41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50">
        <f t="shared" si="3"/>
        <v>0</v>
      </c>
      <c r="AO115" s="41">
        <f>'среднегодовая на 2025 под факт'!AO115+'инообластные на 2025 под факт'!AO115</f>
        <v>1563</v>
      </c>
      <c r="AP115" s="26"/>
      <c r="AQ115" s="42">
        <f>'среднегодовая на 2025 под факт'!AQ115+'инообластные на 2025 под факт'!AQ115</f>
        <v>212363137</v>
      </c>
      <c r="AR115" s="41">
        <f>'среднегодовая на 2025 под факт'!AR115+'инообластные на 2025 под факт'!AR115</f>
        <v>1690</v>
      </c>
      <c r="AS115" s="26"/>
      <c r="AT115" s="42">
        <f>'среднегодовая на 2025 под факт'!AT115+'инообластные на 2025 под факт'!AT115</f>
        <v>308630934</v>
      </c>
      <c r="AU115" s="43"/>
      <c r="AV115" s="27"/>
      <c r="AW115" s="27"/>
      <c r="AX115" s="27"/>
      <c r="AY115" s="27"/>
      <c r="AZ115" s="44"/>
      <c r="BA115" s="36"/>
      <c r="BB115" s="44"/>
      <c r="BC115" s="187">
        <f t="shared" si="4"/>
        <v>520994071</v>
      </c>
    </row>
    <row r="116" spans="1:55" s="1" customFormat="1" x14ac:dyDescent="0.25">
      <c r="A116" s="283"/>
      <c r="B116" s="283"/>
      <c r="C116" s="18" t="s">
        <v>93</v>
      </c>
      <c r="D116" s="41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>
        <f>'среднегодовая на 2025 под факт'!AL116+'инообластные на 2025 под факт'!AL116</f>
        <v>1667</v>
      </c>
      <c r="AM116" s="26">
        <f>'среднегодовая на 2025 под факт'!AM116+'инообластные на 2025 под факт'!AM116</f>
        <v>16937338</v>
      </c>
      <c r="AN116" s="50">
        <f t="shared" si="3"/>
        <v>16937338</v>
      </c>
      <c r="AO116" s="43"/>
      <c r="AP116" s="27"/>
      <c r="AQ116" s="44"/>
      <c r="AR116" s="43"/>
      <c r="AS116" s="27"/>
      <c r="AT116" s="44"/>
      <c r="AU116" s="43"/>
      <c r="AV116" s="27"/>
      <c r="AW116" s="27"/>
      <c r="AX116" s="27"/>
      <c r="AY116" s="27"/>
      <c r="AZ116" s="44"/>
      <c r="BA116" s="36"/>
      <c r="BB116" s="44"/>
      <c r="BC116" s="188">
        <f t="shared" si="4"/>
        <v>16937338</v>
      </c>
    </row>
    <row r="117" spans="1:55" s="1" customFormat="1" x14ac:dyDescent="0.25">
      <c r="A117" s="283"/>
      <c r="B117" s="283"/>
      <c r="C117" s="18" t="s">
        <v>94</v>
      </c>
      <c r="D117" s="41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>
        <f>'среднегодовая на 2025 под факт'!AL117+'инообластные на 2025 под факт'!AL117</f>
        <v>2266</v>
      </c>
      <c r="AM117" s="26">
        <f>'среднегодовая на 2025 под факт'!AM117+'инообластные на 2025 под факт'!AM117</f>
        <v>21894705</v>
      </c>
      <c r="AN117" s="50">
        <f t="shared" si="3"/>
        <v>21894705</v>
      </c>
      <c r="AO117" s="43"/>
      <c r="AP117" s="27"/>
      <c r="AQ117" s="44"/>
      <c r="AR117" s="43"/>
      <c r="AS117" s="27"/>
      <c r="AT117" s="44"/>
      <c r="AU117" s="43"/>
      <c r="AV117" s="27"/>
      <c r="AW117" s="27"/>
      <c r="AX117" s="27"/>
      <c r="AY117" s="27"/>
      <c r="AZ117" s="44"/>
      <c r="BA117" s="36"/>
      <c r="BB117" s="44"/>
      <c r="BC117" s="188">
        <f t="shared" si="4"/>
        <v>21894705</v>
      </c>
    </row>
    <row r="118" spans="1:55" s="1" customFormat="1" x14ac:dyDescent="0.25">
      <c r="A118" s="283"/>
      <c r="B118" s="283"/>
      <c r="C118" s="18" t="s">
        <v>74</v>
      </c>
      <c r="D118" s="41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>
        <f>'среднегодовая на 2025 под факт'!AL118+'инообластные на 2025 под факт'!AL118</f>
        <v>166</v>
      </c>
      <c r="AM118" s="26">
        <f>'среднегодовая на 2025 под факт'!AM118+'инообластные на 2025 под факт'!AM118</f>
        <v>251186</v>
      </c>
      <c r="AN118" s="50">
        <f t="shared" si="3"/>
        <v>251186</v>
      </c>
      <c r="AO118" s="43"/>
      <c r="AP118" s="27"/>
      <c r="AQ118" s="44"/>
      <c r="AR118" s="43"/>
      <c r="AS118" s="27"/>
      <c r="AT118" s="44"/>
      <c r="AU118" s="43"/>
      <c r="AV118" s="27"/>
      <c r="AW118" s="27"/>
      <c r="AX118" s="27"/>
      <c r="AY118" s="27"/>
      <c r="AZ118" s="44"/>
      <c r="BA118" s="36"/>
      <c r="BB118" s="44"/>
      <c r="BC118" s="188">
        <f t="shared" si="4"/>
        <v>251186</v>
      </c>
    </row>
    <row r="119" spans="1:55" s="1" customFormat="1" x14ac:dyDescent="0.25">
      <c r="A119" s="283"/>
      <c r="B119" s="283"/>
      <c r="C119" s="18" t="s">
        <v>75</v>
      </c>
      <c r="D119" s="41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>
        <f>'среднегодовая на 2025 под факт'!AL119+'инообластные на 2025 под факт'!AL119</f>
        <v>2201</v>
      </c>
      <c r="AM119" s="26">
        <f>'среднегодовая на 2025 под факт'!AM119+'инообластные на 2025 под факт'!AM119</f>
        <v>5489897</v>
      </c>
      <c r="AN119" s="50">
        <f t="shared" si="3"/>
        <v>5489897</v>
      </c>
      <c r="AO119" s="43"/>
      <c r="AP119" s="27"/>
      <c r="AQ119" s="44"/>
      <c r="AR119" s="43"/>
      <c r="AS119" s="27"/>
      <c r="AT119" s="44"/>
      <c r="AU119" s="43"/>
      <c r="AV119" s="27"/>
      <c r="AW119" s="27"/>
      <c r="AX119" s="27"/>
      <c r="AY119" s="27"/>
      <c r="AZ119" s="44"/>
      <c r="BA119" s="36"/>
      <c r="BB119" s="44"/>
      <c r="BC119" s="188">
        <f t="shared" si="4"/>
        <v>5489897</v>
      </c>
    </row>
    <row r="120" spans="1:55" s="1" customFormat="1" ht="47.25" x14ac:dyDescent="0.25">
      <c r="A120" s="283"/>
      <c r="B120" s="283"/>
      <c r="C120" s="20" t="s">
        <v>92</v>
      </c>
      <c r="D120" s="41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>
        <f>'среднегодовая на 2025 под факт'!AL120+'инообластные на 2025 под факт'!AL120</f>
        <v>1248</v>
      </c>
      <c r="AM120" s="26">
        <f>'среднегодовая на 2025 под факт'!AM120+'инообластные на 2025 под факт'!AM120</f>
        <v>5818268</v>
      </c>
      <c r="AN120" s="50">
        <f t="shared" si="3"/>
        <v>5818268</v>
      </c>
      <c r="AO120" s="43"/>
      <c r="AP120" s="27"/>
      <c r="AQ120" s="44"/>
      <c r="AR120" s="43"/>
      <c r="AS120" s="27"/>
      <c r="AT120" s="44"/>
      <c r="AU120" s="43"/>
      <c r="AV120" s="27"/>
      <c r="AW120" s="27"/>
      <c r="AX120" s="27"/>
      <c r="AY120" s="27"/>
      <c r="AZ120" s="44"/>
      <c r="BA120" s="36"/>
      <c r="BB120" s="44"/>
      <c r="BC120" s="188">
        <f t="shared" si="4"/>
        <v>5818268</v>
      </c>
    </row>
    <row r="121" spans="1:55" s="1" customFormat="1" x14ac:dyDescent="0.25">
      <c r="A121" s="283"/>
      <c r="B121" s="283"/>
      <c r="C121" s="107" t="s">
        <v>26</v>
      </c>
      <c r="D121" s="41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50">
        <f t="shared" si="3"/>
        <v>0</v>
      </c>
      <c r="AO121" s="43">
        <f>'среднегодовая на 2025 под факт'!AO121+'инообластные на 2025 под факт'!AO121</f>
        <v>57</v>
      </c>
      <c r="AP121" s="27"/>
      <c r="AQ121" s="44">
        <f>'среднегодовая на 2025 под факт'!AQ121+'инообластные на 2025 под факт'!AQ121</f>
        <v>19439975</v>
      </c>
      <c r="AR121" s="43"/>
      <c r="AS121" s="27"/>
      <c r="AT121" s="44"/>
      <c r="AU121" s="43"/>
      <c r="AV121" s="27"/>
      <c r="AW121" s="27"/>
      <c r="AX121" s="27"/>
      <c r="AY121" s="27"/>
      <c r="AZ121" s="44"/>
      <c r="BA121" s="36"/>
      <c r="BB121" s="44"/>
      <c r="BC121" s="188">
        <f t="shared" si="4"/>
        <v>19439975</v>
      </c>
    </row>
    <row r="122" spans="1:55" s="1" customFormat="1" ht="16.5" thickBot="1" x14ac:dyDescent="0.3">
      <c r="A122" s="284"/>
      <c r="B122" s="284"/>
      <c r="C122" s="205" t="s">
        <v>119</v>
      </c>
      <c r="D122" s="54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51">
        <f t="shared" si="3"/>
        <v>0</v>
      </c>
      <c r="AO122" s="54">
        <f>'среднегодовая на 2025 под факт'!AO122+'инообластные на 2025 под факт'!AO122</f>
        <v>50</v>
      </c>
      <c r="AP122" s="32"/>
      <c r="AQ122" s="203">
        <f>'среднегодовая на 2025 под факт'!AQ122+'инообластные на 2025 под факт'!AQ122</f>
        <v>18417620</v>
      </c>
      <c r="AR122" s="45"/>
      <c r="AS122" s="33"/>
      <c r="AT122" s="46"/>
      <c r="AU122" s="45"/>
      <c r="AV122" s="33"/>
      <c r="AW122" s="33"/>
      <c r="AX122" s="33"/>
      <c r="AY122" s="33"/>
      <c r="AZ122" s="46"/>
      <c r="BA122" s="37"/>
      <c r="BB122" s="46"/>
      <c r="BC122" s="206">
        <f t="shared" si="4"/>
        <v>18417620</v>
      </c>
    </row>
    <row r="123" spans="1:55" s="1" customFormat="1" ht="16.5" thickBot="1" x14ac:dyDescent="0.3">
      <c r="A123" s="101">
        <v>15</v>
      </c>
      <c r="B123" s="94">
        <v>790025</v>
      </c>
      <c r="C123" s="200" t="s">
        <v>23</v>
      </c>
      <c r="D123" s="77"/>
      <c r="E123" s="55"/>
      <c r="F123" s="55"/>
      <c r="G123" s="55"/>
      <c r="H123" s="55"/>
      <c r="I123" s="55"/>
      <c r="J123" s="55"/>
      <c r="K123" s="55"/>
      <c r="L123" s="55"/>
      <c r="M123" s="55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  <c r="AJ123" s="55"/>
      <c r="AK123" s="55"/>
      <c r="AL123" s="55"/>
      <c r="AM123" s="55"/>
      <c r="AN123" s="60">
        <f t="shared" si="3"/>
        <v>0</v>
      </c>
      <c r="AO123" s="56"/>
      <c r="AP123" s="57"/>
      <c r="AQ123" s="58"/>
      <c r="AR123" s="56"/>
      <c r="AS123" s="57"/>
      <c r="AT123" s="58"/>
      <c r="AU123" s="56"/>
      <c r="AV123" s="57"/>
      <c r="AW123" s="57"/>
      <c r="AX123" s="57"/>
      <c r="AY123" s="57"/>
      <c r="AZ123" s="58"/>
      <c r="BA123" s="59"/>
      <c r="BB123" s="58"/>
      <c r="BC123" s="191">
        <f t="shared" si="4"/>
        <v>0</v>
      </c>
    </row>
    <row r="124" spans="1:55" s="1" customFormat="1" x14ac:dyDescent="0.25">
      <c r="A124" s="282">
        <v>16</v>
      </c>
      <c r="B124" s="282">
        <v>790027</v>
      </c>
      <c r="C124" s="96" t="s">
        <v>15</v>
      </c>
      <c r="D124" s="73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49">
        <f t="shared" si="3"/>
        <v>0</v>
      </c>
      <c r="AO124" s="39"/>
      <c r="AP124" s="31"/>
      <c r="AQ124" s="40"/>
      <c r="AR124" s="39"/>
      <c r="AS124" s="31"/>
      <c r="AT124" s="40"/>
      <c r="AU124" s="39"/>
      <c r="AV124" s="31"/>
      <c r="AW124" s="31"/>
      <c r="AX124" s="31"/>
      <c r="AY124" s="31"/>
      <c r="AZ124" s="40"/>
      <c r="BA124" s="35">
        <f>'среднегодовая на 2025 под факт'!BA124+'инообластные на 2025 под факт'!BA124</f>
        <v>33002</v>
      </c>
      <c r="BB124" s="40">
        <f>'среднегодовая на 2025 под факт'!BB124+'инообластные на 2025 под факт'!BB124</f>
        <v>299798390</v>
      </c>
      <c r="BC124" s="186">
        <f t="shared" si="4"/>
        <v>299798390</v>
      </c>
    </row>
    <row r="125" spans="1:55" s="1" customFormat="1" ht="16.5" thickBot="1" x14ac:dyDescent="0.3">
      <c r="A125" s="284"/>
      <c r="B125" s="284"/>
      <c r="C125" s="22" t="s">
        <v>108</v>
      </c>
      <c r="D125" s="54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51">
        <f t="shared" si="3"/>
        <v>0</v>
      </c>
      <c r="AO125" s="45"/>
      <c r="AP125" s="33"/>
      <c r="AQ125" s="46"/>
      <c r="AR125" s="45"/>
      <c r="AS125" s="33"/>
      <c r="AT125" s="46"/>
      <c r="AU125" s="45"/>
      <c r="AV125" s="33"/>
      <c r="AW125" s="33"/>
      <c r="AX125" s="33"/>
      <c r="AY125" s="33"/>
      <c r="AZ125" s="46"/>
      <c r="BA125" s="37">
        <f>'среднегодовая на 2025 под факт'!BA125+'инообластные на 2025 под факт'!BA125</f>
        <v>96</v>
      </c>
      <c r="BB125" s="46">
        <f>'среднегодовая на 2025 под факт'!BB125+'инообластные на 2025 под факт'!BB125</f>
        <v>7803252</v>
      </c>
      <c r="BC125" s="189">
        <f t="shared" si="4"/>
        <v>7803252</v>
      </c>
    </row>
    <row r="126" spans="1:55" s="1" customFormat="1" ht="16.5" thickBot="1" x14ac:dyDescent="0.3">
      <c r="A126" s="101">
        <v>17</v>
      </c>
      <c r="B126" s="94">
        <v>790031</v>
      </c>
      <c r="C126" s="24" t="s">
        <v>31</v>
      </c>
      <c r="D126" s="77"/>
      <c r="E126" s="55"/>
      <c r="F126" s="55"/>
      <c r="G126" s="55"/>
      <c r="H126" s="55"/>
      <c r="I126" s="55"/>
      <c r="J126" s="55"/>
      <c r="K126" s="55"/>
      <c r="L126" s="55"/>
      <c r="M126" s="55"/>
      <c r="N126" s="55"/>
      <c r="O126" s="55"/>
      <c r="P126" s="55"/>
      <c r="Q126" s="55"/>
      <c r="R126" s="55"/>
      <c r="S126" s="55"/>
      <c r="T126" s="55"/>
      <c r="U126" s="55"/>
      <c r="V126" s="55"/>
      <c r="W126" s="55"/>
      <c r="X126" s="55"/>
      <c r="Y126" s="55"/>
      <c r="Z126" s="55"/>
      <c r="AA126" s="55"/>
      <c r="AB126" s="55"/>
      <c r="AC126" s="55"/>
      <c r="AD126" s="55"/>
      <c r="AE126" s="55"/>
      <c r="AF126" s="55"/>
      <c r="AG126" s="55"/>
      <c r="AH126" s="55"/>
      <c r="AI126" s="55"/>
      <c r="AJ126" s="55"/>
      <c r="AK126" s="55"/>
      <c r="AL126" s="55">
        <f>'среднегодовая на 2025 под факт'!AL126+'инообластные на 2025 под факт'!AL126</f>
        <v>4774</v>
      </c>
      <c r="AM126" s="55">
        <f>'среднегодовая на 2025 под факт'!AM126+'инообластные на 2025 под факт'!AM126</f>
        <v>43386349</v>
      </c>
      <c r="AN126" s="60">
        <f t="shared" si="3"/>
        <v>43386349</v>
      </c>
      <c r="AO126" s="56"/>
      <c r="AP126" s="57"/>
      <c r="AQ126" s="58"/>
      <c r="AR126" s="56"/>
      <c r="AS126" s="57"/>
      <c r="AT126" s="58"/>
      <c r="AU126" s="56"/>
      <c r="AV126" s="57"/>
      <c r="AW126" s="57"/>
      <c r="AX126" s="57"/>
      <c r="AY126" s="57"/>
      <c r="AZ126" s="58"/>
      <c r="BA126" s="59"/>
      <c r="BB126" s="58"/>
      <c r="BC126" s="191">
        <f>AN126+AQ126+AT126+AW126+BB126+AZ126</f>
        <v>43386349</v>
      </c>
    </row>
    <row r="127" spans="1:55" s="1" customFormat="1" x14ac:dyDescent="0.25">
      <c r="A127" s="282">
        <v>18</v>
      </c>
      <c r="B127" s="282">
        <v>790038</v>
      </c>
      <c r="C127" s="17" t="s">
        <v>64</v>
      </c>
      <c r="D127" s="75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52">
        <f t="shared" si="3"/>
        <v>0</v>
      </c>
      <c r="AO127" s="47"/>
      <c r="AP127" s="29"/>
      <c r="AQ127" s="48"/>
      <c r="AR127" s="47"/>
      <c r="AS127" s="29"/>
      <c r="AT127" s="48"/>
      <c r="AU127" s="47"/>
      <c r="AV127" s="29"/>
      <c r="AW127" s="29"/>
      <c r="AX127" s="29"/>
      <c r="AY127" s="29"/>
      <c r="AZ127" s="48"/>
      <c r="BA127" s="38"/>
      <c r="BB127" s="48"/>
      <c r="BC127" s="192">
        <f t="shared" si="4"/>
        <v>0</v>
      </c>
    </row>
    <row r="128" spans="1:55" s="1" customFormat="1" x14ac:dyDescent="0.25">
      <c r="A128" s="283"/>
      <c r="B128" s="283"/>
      <c r="C128" s="18" t="s">
        <v>95</v>
      </c>
      <c r="D128" s="41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>
        <f>'среднегодовая на 2025 под факт'!AL128+'инообластные на 2025 под факт'!AL128</f>
        <v>2473</v>
      </c>
      <c r="AM128" s="26">
        <f>'среднегодовая на 2025 под факт'!AM128+'инообластные на 2025 под факт'!AM128</f>
        <v>8042446</v>
      </c>
      <c r="AN128" s="50">
        <f t="shared" si="3"/>
        <v>8042446</v>
      </c>
      <c r="AO128" s="43"/>
      <c r="AP128" s="27"/>
      <c r="AQ128" s="44"/>
      <c r="AR128" s="43"/>
      <c r="AS128" s="27"/>
      <c r="AT128" s="44"/>
      <c r="AU128" s="43"/>
      <c r="AV128" s="27"/>
      <c r="AW128" s="27"/>
      <c r="AX128" s="27"/>
      <c r="AY128" s="27"/>
      <c r="AZ128" s="44"/>
      <c r="BA128" s="36"/>
      <c r="BB128" s="44"/>
      <c r="BC128" s="188">
        <f t="shared" si="4"/>
        <v>8042446</v>
      </c>
    </row>
    <row r="129" spans="1:55" s="1" customFormat="1" ht="16.5" thickBot="1" x14ac:dyDescent="0.3">
      <c r="A129" s="284"/>
      <c r="B129" s="284"/>
      <c r="C129" s="22" t="s">
        <v>91</v>
      </c>
      <c r="D129" s="74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>
        <f>'среднегодовая на 2025 под факт'!AL129+'инообластные на 2025 под факт'!AL129</f>
        <v>508</v>
      </c>
      <c r="AM129" s="61">
        <f>'среднегодовая на 2025 под факт'!AM129+'инообластные на 2025 под факт'!AM129</f>
        <v>2043621</v>
      </c>
      <c r="AN129" s="66">
        <f t="shared" si="3"/>
        <v>2043621</v>
      </c>
      <c r="AO129" s="62"/>
      <c r="AP129" s="63"/>
      <c r="AQ129" s="64"/>
      <c r="AR129" s="62"/>
      <c r="AS129" s="63"/>
      <c r="AT129" s="64"/>
      <c r="AU129" s="62"/>
      <c r="AV129" s="63"/>
      <c r="AW129" s="63"/>
      <c r="AX129" s="63"/>
      <c r="AY129" s="63"/>
      <c r="AZ129" s="64"/>
      <c r="BA129" s="65"/>
      <c r="BB129" s="64"/>
      <c r="BC129" s="190">
        <f t="shared" si="4"/>
        <v>2043621</v>
      </c>
    </row>
    <row r="130" spans="1:55" s="1" customFormat="1" ht="16.5" thickBot="1" x14ac:dyDescent="0.3">
      <c r="A130" s="251">
        <v>19</v>
      </c>
      <c r="B130" s="242">
        <v>790041</v>
      </c>
      <c r="C130" s="200" t="s">
        <v>24</v>
      </c>
      <c r="D130" s="77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5"/>
      <c r="AA130" s="55"/>
      <c r="AB130" s="55"/>
      <c r="AC130" s="55"/>
      <c r="AD130" s="55"/>
      <c r="AE130" s="55"/>
      <c r="AF130" s="55"/>
      <c r="AG130" s="55"/>
      <c r="AH130" s="55"/>
      <c r="AI130" s="55"/>
      <c r="AJ130" s="55"/>
      <c r="AK130" s="55"/>
      <c r="AL130" s="55">
        <f>'среднегодовая на 2025 под факт'!AL130+'инообластные на 2025 под факт'!AL130</f>
        <v>2583</v>
      </c>
      <c r="AM130" s="55">
        <f>'среднегодовая на 2025 под факт'!AM130+'инообластные на 2025 под факт'!AM130</f>
        <v>1085994</v>
      </c>
      <c r="AN130" s="60">
        <f t="shared" si="3"/>
        <v>1085994</v>
      </c>
      <c r="AO130" s="56"/>
      <c r="AP130" s="57"/>
      <c r="AQ130" s="58"/>
      <c r="AR130" s="56"/>
      <c r="AS130" s="57"/>
      <c r="AT130" s="58"/>
      <c r="AU130" s="56"/>
      <c r="AV130" s="57"/>
      <c r="AW130" s="57"/>
      <c r="AX130" s="57"/>
      <c r="AY130" s="57"/>
      <c r="AZ130" s="58"/>
      <c r="BA130" s="59"/>
      <c r="BB130" s="58"/>
      <c r="BC130" s="191">
        <f t="shared" si="4"/>
        <v>1085994</v>
      </c>
    </row>
    <row r="131" spans="1:55" s="1" customFormat="1" x14ac:dyDescent="0.25">
      <c r="A131" s="282">
        <v>20</v>
      </c>
      <c r="B131" s="282">
        <v>790044</v>
      </c>
      <c r="C131" s="126" t="s">
        <v>65</v>
      </c>
      <c r="D131" s="73">
        <f>'среднегодовая на 2025 под факт'!D131+'инообластные на 2025 под факт'!D131</f>
        <v>101</v>
      </c>
      <c r="E131" s="30">
        <f>'среднегодовая на 2025 под факт'!E131+'инообластные на 2025 под факт'!E131</f>
        <v>60649</v>
      </c>
      <c r="F131" s="30">
        <f>'среднегодовая на 2025 под факт'!F131+'инообластные на 2025 под факт'!F131</f>
        <v>2</v>
      </c>
      <c r="G131" s="30">
        <f>'среднегодовая на 2025 под факт'!G131+'инообластные на 2025 под факт'!G131</f>
        <v>2462</v>
      </c>
      <c r="H131" s="30">
        <f>'среднегодовая на 2025 под факт'!H131+'инообластные на 2025 под факт'!H131</f>
        <v>8</v>
      </c>
      <c r="I131" s="30">
        <f>'среднегодовая на 2025 под факт'!I131+'инообластные на 2025 под факт'!I131</f>
        <v>5756</v>
      </c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49">
        <f t="shared" si="3"/>
        <v>68867</v>
      </c>
      <c r="AO131" s="39">
        <f>'среднегодовая на 2025 под факт'!AO131+'инообластные на 2025 под факт'!AO131</f>
        <v>113</v>
      </c>
      <c r="AP131" s="31"/>
      <c r="AQ131" s="40">
        <f>'среднегодовая на 2025 под факт'!AQ131+'инообластные на 2025 под факт'!AQ131</f>
        <v>10029108</v>
      </c>
      <c r="AR131" s="39"/>
      <c r="AS131" s="31"/>
      <c r="AT131" s="40"/>
      <c r="AU131" s="39"/>
      <c r="AV131" s="31"/>
      <c r="AW131" s="31"/>
      <c r="AX131" s="31"/>
      <c r="AY131" s="31"/>
      <c r="AZ131" s="40"/>
      <c r="BA131" s="35"/>
      <c r="BB131" s="40"/>
      <c r="BC131" s="186">
        <f t="shared" si="4"/>
        <v>10097975</v>
      </c>
    </row>
    <row r="132" spans="1:55" s="1" customFormat="1" x14ac:dyDescent="0.25">
      <c r="A132" s="283"/>
      <c r="B132" s="283"/>
      <c r="C132" s="107" t="s">
        <v>26</v>
      </c>
      <c r="D132" s="41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50">
        <f t="shared" si="3"/>
        <v>0</v>
      </c>
      <c r="AO132" s="43">
        <f>'среднегодовая на 2025 под факт'!AO132+'инообластные на 2025 под факт'!AO132</f>
        <v>30</v>
      </c>
      <c r="AP132" s="27"/>
      <c r="AQ132" s="44">
        <f>'среднегодовая на 2025 под факт'!AQ132+'инообластные на 2025 под факт'!AQ132</f>
        <v>6310312</v>
      </c>
      <c r="AR132" s="43"/>
      <c r="AS132" s="27"/>
      <c r="AT132" s="44"/>
      <c r="AU132" s="43"/>
      <c r="AV132" s="27"/>
      <c r="AW132" s="27"/>
      <c r="AX132" s="27"/>
      <c r="AY132" s="27"/>
      <c r="AZ132" s="44"/>
      <c r="BA132" s="36"/>
      <c r="BB132" s="44"/>
      <c r="BC132" s="188">
        <f t="shared" si="4"/>
        <v>6310312</v>
      </c>
    </row>
    <row r="133" spans="1:55" s="1" customFormat="1" x14ac:dyDescent="0.25">
      <c r="A133" s="283"/>
      <c r="B133" s="283"/>
      <c r="C133" s="19" t="s">
        <v>189</v>
      </c>
      <c r="D133" s="41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50">
        <f t="shared" si="3"/>
        <v>0</v>
      </c>
      <c r="AO133" s="41">
        <f>'среднегодовая на 2025 под факт'!AO133+'инообластные на 2025 под факт'!AO133</f>
        <v>23</v>
      </c>
      <c r="AP133" s="27"/>
      <c r="AQ133" s="42">
        <f>'среднегодовая на 2025 под факт'!AQ133+'инообластные на 2025 под факт'!AQ133</f>
        <v>5079233</v>
      </c>
      <c r="AR133" s="43"/>
      <c r="AS133" s="27"/>
      <c r="AT133" s="44"/>
      <c r="AU133" s="43"/>
      <c r="AV133" s="27"/>
      <c r="AW133" s="27"/>
      <c r="AX133" s="27"/>
      <c r="AY133" s="27"/>
      <c r="AZ133" s="44"/>
      <c r="BA133" s="36"/>
      <c r="BB133" s="44"/>
      <c r="BC133" s="194">
        <f t="shared" si="4"/>
        <v>5079233</v>
      </c>
    </row>
    <row r="134" spans="1:55" s="1" customFormat="1" x14ac:dyDescent="0.25">
      <c r="A134" s="283"/>
      <c r="B134" s="289"/>
      <c r="C134" s="98" t="s">
        <v>183</v>
      </c>
      <c r="D134" s="41">
        <f>'среднегодовая на 2025 под факт'!D134+'инообластные на 2025 под факт'!D134</f>
        <v>9</v>
      </c>
      <c r="E134" s="26">
        <f>'среднегодовая на 2025 под факт'!E134+'инообластные на 2025 под факт'!E134</f>
        <v>5545</v>
      </c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50">
        <f t="shared" si="3"/>
        <v>5545</v>
      </c>
      <c r="AO134" s="43"/>
      <c r="AP134" s="27"/>
      <c r="AQ134" s="44"/>
      <c r="AR134" s="43"/>
      <c r="AS134" s="27"/>
      <c r="AT134" s="44"/>
      <c r="AU134" s="43"/>
      <c r="AV134" s="27"/>
      <c r="AW134" s="27"/>
      <c r="AX134" s="27"/>
      <c r="AY134" s="27"/>
      <c r="AZ134" s="44"/>
      <c r="BA134" s="36"/>
      <c r="BB134" s="44"/>
      <c r="BC134" s="192">
        <f t="shared" si="4"/>
        <v>5545</v>
      </c>
    </row>
    <row r="135" spans="1:55" s="1" customFormat="1" ht="16.5" thickBot="1" x14ac:dyDescent="0.3">
      <c r="A135" s="284"/>
      <c r="B135" s="241">
        <v>791044</v>
      </c>
      <c r="C135" s="150" t="s">
        <v>32</v>
      </c>
      <c r="D135" s="54">
        <f>'среднегодовая на 2025 под факт'!D135+'инообластные на 2025 под факт'!D135</f>
        <v>908</v>
      </c>
      <c r="E135" s="32">
        <f>'среднегодовая на 2025 под факт'!E135+'инообластные на 2025 под факт'!E135</f>
        <v>510834</v>
      </c>
      <c r="F135" s="32">
        <f>'среднегодовая на 2025 под факт'!F135+'инообластные на 2025 под факт'!F135</f>
        <v>393</v>
      </c>
      <c r="G135" s="32">
        <f>'среднегодовая на 2025 под факт'!G135+'инообластные на 2025 под факт'!G135</f>
        <v>732415</v>
      </c>
      <c r="H135" s="32">
        <f>'среднегодовая на 2025 под факт'!H135+'инообластные на 2025 под факт'!H135</f>
        <v>18</v>
      </c>
      <c r="I135" s="32">
        <f>'среднегодовая на 2025 под факт'!I135+'инообластные на 2025 под факт'!I135</f>
        <v>11604</v>
      </c>
      <c r="J135" s="32">
        <f>'среднегодовая на 2025 под факт'!J135+'инообластные на 2025 под факт'!J135</f>
        <v>3</v>
      </c>
      <c r="K135" s="32">
        <f>'среднегодовая на 2025 под факт'!K135+'инообластные на 2025 под факт'!K135</f>
        <v>6570</v>
      </c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>
        <f>'среднегодовая на 2025 под факт'!AB135+'инообластные на 2025 под факт'!AB135</f>
        <v>258</v>
      </c>
      <c r="AC135" s="32">
        <f>'среднегодовая на 2025 под факт'!AC135+'инообластные на 2025 под факт'!AC135</f>
        <v>947966</v>
      </c>
      <c r="AD135" s="32"/>
      <c r="AE135" s="32"/>
      <c r="AF135" s="32">
        <f>'среднегодовая на 2025 под факт'!AF135+'инообластные на 2025 под факт'!AF135</f>
        <v>264</v>
      </c>
      <c r="AG135" s="32">
        <f>'среднегодовая на 2025 под факт'!AG135+'инообластные на 2025 под факт'!AG135</f>
        <v>75829</v>
      </c>
      <c r="AH135" s="32">
        <f>'среднегодовая на 2025 под факт'!AH135+'инообластные на 2025 под факт'!AH135</f>
        <v>192</v>
      </c>
      <c r="AI135" s="32">
        <f>'среднегодовая на 2025 под факт'!AI135+'инообластные на 2025 под факт'!AI135</f>
        <v>372764</v>
      </c>
      <c r="AJ135" s="32"/>
      <c r="AK135" s="32"/>
      <c r="AL135" s="32"/>
      <c r="AM135" s="32"/>
      <c r="AN135" s="51">
        <f t="shared" si="3"/>
        <v>2657982</v>
      </c>
      <c r="AO135" s="45"/>
      <c r="AP135" s="33">
        <f>'среднегодовая на 2025 под факт'!AP135+'инообластные на 2025 под факт'!AP135</f>
        <v>5</v>
      </c>
      <c r="AQ135" s="46">
        <f>'среднегодовая на 2025 под факт'!AQ135+'инообластные на 2025 под факт'!AQ135</f>
        <v>6775</v>
      </c>
      <c r="AR135" s="45">
        <f>'среднегодовая на 2025 под факт'!AR135+'инообластные на 2025 под факт'!AR135</f>
        <v>161</v>
      </c>
      <c r="AS135" s="33"/>
      <c r="AT135" s="46">
        <f>'среднегодовая на 2025 под факт'!AT135+'инообластные на 2025 под факт'!AT135</f>
        <v>3169467</v>
      </c>
      <c r="AU135" s="45"/>
      <c r="AV135" s="33"/>
      <c r="AW135" s="33"/>
      <c r="AX135" s="33"/>
      <c r="AY135" s="33"/>
      <c r="AZ135" s="46"/>
      <c r="BA135" s="37"/>
      <c r="BB135" s="46"/>
      <c r="BC135" s="189">
        <f t="shared" si="4"/>
        <v>5834224</v>
      </c>
    </row>
    <row r="136" spans="1:55" s="1" customFormat="1" ht="16.5" thickBot="1" x14ac:dyDescent="0.3">
      <c r="A136" s="251">
        <v>21</v>
      </c>
      <c r="B136" s="242">
        <v>790054</v>
      </c>
      <c r="C136" s="207" t="s">
        <v>122</v>
      </c>
      <c r="D136" s="76"/>
      <c r="E136" s="67"/>
      <c r="F136" s="67"/>
      <c r="G136" s="67"/>
      <c r="H136" s="67"/>
      <c r="I136" s="67"/>
      <c r="J136" s="67"/>
      <c r="K136" s="67"/>
      <c r="L136" s="67"/>
      <c r="M136" s="67"/>
      <c r="N136" s="67"/>
      <c r="O136" s="67"/>
      <c r="P136" s="67"/>
      <c r="Q136" s="67"/>
      <c r="R136" s="67"/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72">
        <f t="shared" si="3"/>
        <v>0</v>
      </c>
      <c r="AO136" s="68"/>
      <c r="AP136" s="69"/>
      <c r="AQ136" s="70"/>
      <c r="AR136" s="68"/>
      <c r="AS136" s="69"/>
      <c r="AT136" s="70"/>
      <c r="AU136" s="68"/>
      <c r="AV136" s="69"/>
      <c r="AW136" s="69"/>
      <c r="AX136" s="69"/>
      <c r="AY136" s="69"/>
      <c r="AZ136" s="70"/>
      <c r="BA136" s="71"/>
      <c r="BB136" s="70"/>
      <c r="BC136" s="195">
        <f t="shared" si="4"/>
        <v>0</v>
      </c>
    </row>
    <row r="137" spans="1:55" s="1" customFormat="1" ht="16.5" thickBot="1" x14ac:dyDescent="0.3">
      <c r="A137" s="101">
        <v>22</v>
      </c>
      <c r="B137" s="94">
        <v>790057</v>
      </c>
      <c r="C137" s="140" t="s">
        <v>101</v>
      </c>
      <c r="D137" s="77">
        <f>'среднегодовая на 2025 под факт'!D137+'инообластные на 2025 под факт'!D137</f>
        <v>13</v>
      </c>
      <c r="E137" s="55">
        <f>'среднегодовая на 2025 под факт'!E137+'инообластные на 2025 под факт'!E137</f>
        <v>8205</v>
      </c>
      <c r="F137" s="55"/>
      <c r="G137" s="55"/>
      <c r="H137" s="55"/>
      <c r="I137" s="55"/>
      <c r="J137" s="55"/>
      <c r="K137" s="55"/>
      <c r="L137" s="55"/>
      <c r="M137" s="55"/>
      <c r="N137" s="55"/>
      <c r="O137" s="55"/>
      <c r="P137" s="55"/>
      <c r="Q137" s="55"/>
      <c r="R137" s="55"/>
      <c r="S137" s="55"/>
      <c r="T137" s="55"/>
      <c r="U137" s="55"/>
      <c r="V137" s="55"/>
      <c r="W137" s="55"/>
      <c r="X137" s="55"/>
      <c r="Y137" s="55"/>
      <c r="Z137" s="55"/>
      <c r="AA137" s="55"/>
      <c r="AB137" s="55"/>
      <c r="AC137" s="55"/>
      <c r="AD137" s="55"/>
      <c r="AE137" s="55"/>
      <c r="AF137" s="55"/>
      <c r="AG137" s="55"/>
      <c r="AH137" s="55"/>
      <c r="AI137" s="55"/>
      <c r="AJ137" s="55"/>
      <c r="AK137" s="55"/>
      <c r="AL137" s="55"/>
      <c r="AM137" s="55"/>
      <c r="AN137" s="60">
        <f t="shared" si="3"/>
        <v>8205</v>
      </c>
      <c r="AO137" s="56"/>
      <c r="AP137" s="57"/>
      <c r="AQ137" s="58"/>
      <c r="AR137" s="56"/>
      <c r="AS137" s="57"/>
      <c r="AT137" s="58"/>
      <c r="AU137" s="56"/>
      <c r="AV137" s="57"/>
      <c r="AW137" s="57"/>
      <c r="AX137" s="57"/>
      <c r="AY137" s="57"/>
      <c r="AZ137" s="58"/>
      <c r="BA137" s="59"/>
      <c r="BB137" s="58"/>
      <c r="BC137" s="191">
        <f t="shared" si="4"/>
        <v>8205</v>
      </c>
    </row>
    <row r="138" spans="1:55" s="1" customFormat="1" x14ac:dyDescent="0.25">
      <c r="A138" s="282">
        <v>23</v>
      </c>
      <c r="B138" s="282">
        <v>790060</v>
      </c>
      <c r="C138" s="24" t="s">
        <v>63</v>
      </c>
      <c r="D138" s="73">
        <f>'среднегодовая на 2025 под факт'!D138+'инообластные на 2025 под факт'!D138</f>
        <v>1549</v>
      </c>
      <c r="E138" s="30">
        <f>'среднегодовая на 2025 под факт'!E138+'инообластные на 2025 под факт'!E138</f>
        <v>907653</v>
      </c>
      <c r="F138" s="30">
        <f>'среднегодовая на 2025 под факт'!F138+'инообластные на 2025 под факт'!F138</f>
        <v>67</v>
      </c>
      <c r="G138" s="30">
        <f>'среднегодовая на 2025 под факт'!G138+'инообластные на 2025 под факт'!G138</f>
        <v>83691</v>
      </c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49">
        <f t="shared" si="3"/>
        <v>991344</v>
      </c>
      <c r="AO138" s="39"/>
      <c r="AP138" s="31"/>
      <c r="AQ138" s="40"/>
      <c r="AR138" s="39"/>
      <c r="AS138" s="31"/>
      <c r="AT138" s="40"/>
      <c r="AU138" s="39"/>
      <c r="AV138" s="31"/>
      <c r="AW138" s="31"/>
      <c r="AX138" s="31"/>
      <c r="AY138" s="31"/>
      <c r="AZ138" s="40"/>
      <c r="BA138" s="35"/>
      <c r="BB138" s="40"/>
      <c r="BC138" s="186">
        <f t="shared" si="4"/>
        <v>991344</v>
      </c>
    </row>
    <row r="139" spans="1:55" s="1" customFormat="1" ht="16.5" thickBot="1" x14ac:dyDescent="0.3">
      <c r="A139" s="284"/>
      <c r="B139" s="284"/>
      <c r="C139" s="21" t="s">
        <v>183</v>
      </c>
      <c r="D139" s="54">
        <f>'среднегодовая на 2025 под факт'!D139+'инообластные на 2025 под факт'!D139</f>
        <v>896</v>
      </c>
      <c r="E139" s="32">
        <f>'среднегодовая на 2025 под факт'!E139+'инообластные на 2025 под факт'!E139</f>
        <v>524394</v>
      </c>
      <c r="F139" s="32">
        <f>'среднегодовая на 2025 под факт'!F139+'инообластные на 2025 под факт'!F139</f>
        <v>122</v>
      </c>
      <c r="G139" s="32">
        <f>'среднегодовая на 2025 под факт'!G139+'инообластные на 2025 под факт'!G139</f>
        <v>152391</v>
      </c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51">
        <f t="shared" si="3"/>
        <v>676785</v>
      </c>
      <c r="AO139" s="45"/>
      <c r="AP139" s="33"/>
      <c r="AQ139" s="46"/>
      <c r="AR139" s="45"/>
      <c r="AS139" s="33"/>
      <c r="AT139" s="46"/>
      <c r="AU139" s="45"/>
      <c r="AV139" s="33"/>
      <c r="AW139" s="33"/>
      <c r="AX139" s="33"/>
      <c r="AY139" s="33"/>
      <c r="AZ139" s="46"/>
      <c r="BA139" s="37"/>
      <c r="BB139" s="46"/>
      <c r="BC139" s="202">
        <f t="shared" si="4"/>
        <v>676785</v>
      </c>
    </row>
    <row r="140" spans="1:55" s="1" customFormat="1" x14ac:dyDescent="0.25">
      <c r="A140" s="282">
        <v>24</v>
      </c>
      <c r="B140" s="282">
        <v>790062</v>
      </c>
      <c r="C140" s="17" t="s">
        <v>62</v>
      </c>
      <c r="D140" s="73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49">
        <f t="shared" si="3"/>
        <v>0</v>
      </c>
      <c r="AO140" s="39"/>
      <c r="AP140" s="31"/>
      <c r="AQ140" s="40"/>
      <c r="AR140" s="39"/>
      <c r="AS140" s="31"/>
      <c r="AT140" s="40"/>
      <c r="AU140" s="39"/>
      <c r="AV140" s="31"/>
      <c r="AW140" s="31"/>
      <c r="AX140" s="31"/>
      <c r="AY140" s="31"/>
      <c r="AZ140" s="40"/>
      <c r="BA140" s="35"/>
      <c r="BB140" s="40"/>
      <c r="BC140" s="186">
        <f t="shared" si="4"/>
        <v>0</v>
      </c>
    </row>
    <row r="141" spans="1:55" s="1" customFormat="1" ht="16.5" thickBot="1" x14ac:dyDescent="0.3">
      <c r="A141" s="284"/>
      <c r="B141" s="284"/>
      <c r="C141" s="22" t="s">
        <v>60</v>
      </c>
      <c r="D141" s="54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>
        <f>'среднегодовая на 2025 под факт'!AL141+'инообластные на 2025 под факт'!AL141</f>
        <v>1603</v>
      </c>
      <c r="AM141" s="32">
        <f>'среднегодовая на 2025 под факт'!AM141+'инообластные на 2025 под факт'!AM141</f>
        <v>266933</v>
      </c>
      <c r="AN141" s="51">
        <f t="shared" si="3"/>
        <v>266933</v>
      </c>
      <c r="AO141" s="45"/>
      <c r="AP141" s="33"/>
      <c r="AQ141" s="46"/>
      <c r="AR141" s="45"/>
      <c r="AS141" s="33"/>
      <c r="AT141" s="46"/>
      <c r="AU141" s="45"/>
      <c r="AV141" s="33"/>
      <c r="AW141" s="33"/>
      <c r="AX141" s="33"/>
      <c r="AY141" s="33"/>
      <c r="AZ141" s="46"/>
      <c r="BA141" s="37"/>
      <c r="BB141" s="46"/>
      <c r="BC141" s="189">
        <f t="shared" si="4"/>
        <v>266933</v>
      </c>
    </row>
    <row r="142" spans="1:55" s="1" customFormat="1" ht="16.5" thickBot="1" x14ac:dyDescent="0.3">
      <c r="A142" s="94">
        <v>25</v>
      </c>
      <c r="B142" s="101">
        <v>790063</v>
      </c>
      <c r="C142" s="24" t="s">
        <v>120</v>
      </c>
      <c r="D142" s="76">
        <f>'среднегодовая на 2025 под факт'!D142+'инообластные на 2025 под факт'!D142</f>
        <v>1957</v>
      </c>
      <c r="E142" s="67">
        <f>'среднегодовая на 2025 под факт'!E142+'инообластные на 2025 под факт'!E142</f>
        <v>3078886</v>
      </c>
      <c r="F142" s="67">
        <f>'среднегодовая на 2025 под факт'!F142+'инообластные на 2025 под факт'!F142</f>
        <v>1237</v>
      </c>
      <c r="G142" s="67">
        <f>'среднегодовая на 2025 под факт'!G142+'инообластные на 2025 под факт'!G142</f>
        <v>1949748</v>
      </c>
      <c r="H142" s="67"/>
      <c r="I142" s="67"/>
      <c r="J142" s="67"/>
      <c r="K142" s="67"/>
      <c r="L142" s="67"/>
      <c r="M142" s="67"/>
      <c r="N142" s="67"/>
      <c r="O142" s="67"/>
      <c r="P142" s="67"/>
      <c r="Q142" s="67"/>
      <c r="R142" s="67"/>
      <c r="S142" s="67"/>
      <c r="T142" s="67"/>
      <c r="U142" s="67"/>
      <c r="V142" s="67"/>
      <c r="W142" s="67"/>
      <c r="X142" s="67"/>
      <c r="Y142" s="67"/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72">
        <f t="shared" si="3"/>
        <v>5028634</v>
      </c>
      <c r="AO142" s="68"/>
      <c r="AP142" s="69"/>
      <c r="AQ142" s="70"/>
      <c r="AR142" s="68"/>
      <c r="AS142" s="69"/>
      <c r="AT142" s="70"/>
      <c r="AU142" s="68"/>
      <c r="AV142" s="69"/>
      <c r="AW142" s="69"/>
      <c r="AX142" s="69"/>
      <c r="AY142" s="69"/>
      <c r="AZ142" s="70"/>
      <c r="BA142" s="71"/>
      <c r="BB142" s="70"/>
      <c r="BC142" s="195">
        <f t="shared" si="4"/>
        <v>5028634</v>
      </c>
    </row>
    <row r="143" spans="1:55" s="1" customFormat="1" ht="16.5" thickBot="1" x14ac:dyDescent="0.3">
      <c r="A143" s="240">
        <v>26</v>
      </c>
      <c r="B143" s="240">
        <v>790066</v>
      </c>
      <c r="C143" s="161" t="s">
        <v>57</v>
      </c>
      <c r="D143" s="77"/>
      <c r="E143" s="55"/>
      <c r="F143" s="55"/>
      <c r="G143" s="55"/>
      <c r="H143" s="55"/>
      <c r="I143" s="55"/>
      <c r="J143" s="55"/>
      <c r="K143" s="55"/>
      <c r="L143" s="55"/>
      <c r="M143" s="55"/>
      <c r="N143" s="55"/>
      <c r="O143" s="55"/>
      <c r="P143" s="55"/>
      <c r="Q143" s="55"/>
      <c r="R143" s="55"/>
      <c r="S143" s="55"/>
      <c r="T143" s="55"/>
      <c r="U143" s="55"/>
      <c r="V143" s="55"/>
      <c r="W143" s="55"/>
      <c r="X143" s="55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60">
        <f t="shared" si="3"/>
        <v>0</v>
      </c>
      <c r="AO143" s="56"/>
      <c r="AP143" s="57"/>
      <c r="AQ143" s="58"/>
      <c r="AR143" s="56"/>
      <c r="AS143" s="57"/>
      <c r="AT143" s="58"/>
      <c r="AU143" s="56"/>
      <c r="AV143" s="57"/>
      <c r="AW143" s="57"/>
      <c r="AX143" s="57"/>
      <c r="AY143" s="57"/>
      <c r="AZ143" s="58"/>
      <c r="BA143" s="59"/>
      <c r="BB143" s="58"/>
      <c r="BC143" s="191">
        <f t="shared" si="4"/>
        <v>0</v>
      </c>
    </row>
    <row r="144" spans="1:55" s="1" customFormat="1" ht="16.5" thickBot="1" x14ac:dyDescent="0.3">
      <c r="A144" s="239">
        <v>27</v>
      </c>
      <c r="B144" s="239">
        <v>790068</v>
      </c>
      <c r="C144" s="24" t="s">
        <v>61</v>
      </c>
      <c r="D144" s="76"/>
      <c r="E144" s="67"/>
      <c r="F144" s="67"/>
      <c r="G144" s="67"/>
      <c r="H144" s="67"/>
      <c r="I144" s="67"/>
      <c r="J144" s="67"/>
      <c r="K144" s="67"/>
      <c r="L144" s="67"/>
      <c r="M144" s="67"/>
      <c r="N144" s="67"/>
      <c r="O144" s="67"/>
      <c r="P144" s="67"/>
      <c r="Q144" s="67"/>
      <c r="R144" s="67"/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>
        <f>'среднегодовая на 2025 под факт'!AL144+'инообластные на 2025 под факт'!AL144</f>
        <v>39604</v>
      </c>
      <c r="AM144" s="67">
        <f>'среднегодовая на 2025 под факт'!AM144+'инообластные на 2025 под факт'!AM144</f>
        <v>8168447</v>
      </c>
      <c r="AN144" s="72">
        <f t="shared" si="3"/>
        <v>8168447</v>
      </c>
      <c r="AO144" s="68"/>
      <c r="AP144" s="69"/>
      <c r="AQ144" s="70"/>
      <c r="AR144" s="68"/>
      <c r="AS144" s="69"/>
      <c r="AT144" s="70"/>
      <c r="AU144" s="68"/>
      <c r="AV144" s="69"/>
      <c r="AW144" s="69"/>
      <c r="AX144" s="69"/>
      <c r="AY144" s="69"/>
      <c r="AZ144" s="70"/>
      <c r="BA144" s="71"/>
      <c r="BB144" s="70"/>
      <c r="BC144" s="195">
        <f t="shared" si="4"/>
        <v>8168447</v>
      </c>
    </row>
    <row r="145" spans="1:55" s="1" customFormat="1" ht="16.5" thickBot="1" x14ac:dyDescent="0.3">
      <c r="A145" s="94">
        <v>28</v>
      </c>
      <c r="B145" s="94">
        <v>790070</v>
      </c>
      <c r="C145" s="23" t="s">
        <v>124</v>
      </c>
      <c r="D145" s="77"/>
      <c r="E145" s="55"/>
      <c r="F145" s="55"/>
      <c r="G145" s="55"/>
      <c r="H145" s="55"/>
      <c r="I145" s="55"/>
      <c r="J145" s="55"/>
      <c r="K145" s="55"/>
      <c r="L145" s="55"/>
      <c r="M145" s="55"/>
      <c r="N145" s="55"/>
      <c r="O145" s="55"/>
      <c r="P145" s="55"/>
      <c r="Q145" s="55"/>
      <c r="R145" s="55"/>
      <c r="S145" s="55"/>
      <c r="T145" s="55"/>
      <c r="U145" s="55"/>
      <c r="V145" s="55"/>
      <c r="W145" s="55"/>
      <c r="X145" s="55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60">
        <f t="shared" si="3"/>
        <v>0</v>
      </c>
      <c r="AO145" s="56"/>
      <c r="AP145" s="57"/>
      <c r="AQ145" s="58"/>
      <c r="AR145" s="56"/>
      <c r="AS145" s="57"/>
      <c r="AT145" s="58"/>
      <c r="AU145" s="56"/>
      <c r="AV145" s="57"/>
      <c r="AW145" s="57"/>
      <c r="AX145" s="57"/>
      <c r="AY145" s="57"/>
      <c r="AZ145" s="58"/>
      <c r="BA145" s="59"/>
      <c r="BB145" s="58"/>
      <c r="BC145" s="191">
        <f t="shared" si="4"/>
        <v>0</v>
      </c>
    </row>
    <row r="146" spans="1:55" s="1" customFormat="1" ht="16.5" thickBot="1" x14ac:dyDescent="0.3">
      <c r="A146" s="243">
        <v>29</v>
      </c>
      <c r="B146" s="239">
        <v>790071</v>
      </c>
      <c r="C146" s="208" t="s">
        <v>107</v>
      </c>
      <c r="D146" s="76"/>
      <c r="E146" s="67"/>
      <c r="F146" s="67"/>
      <c r="G146" s="67"/>
      <c r="H146" s="67"/>
      <c r="I146" s="67"/>
      <c r="J146" s="67"/>
      <c r="K146" s="67"/>
      <c r="L146" s="67"/>
      <c r="M146" s="67"/>
      <c r="N146" s="67"/>
      <c r="O146" s="67"/>
      <c r="P146" s="67"/>
      <c r="Q146" s="67"/>
      <c r="R146" s="67"/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>
        <f>'среднегодовая на 2025 под факт'!AL146+'инообластные на 2025 под факт'!AL146</f>
        <v>19393</v>
      </c>
      <c r="AM146" s="67">
        <f>'среднегодовая на 2025 под факт'!AM146+'инообластные на 2025 под факт'!AM146</f>
        <v>5930514</v>
      </c>
      <c r="AN146" s="72">
        <f t="shared" si="3"/>
        <v>5930514</v>
      </c>
      <c r="AO146" s="68"/>
      <c r="AP146" s="69"/>
      <c r="AQ146" s="70"/>
      <c r="AR146" s="68"/>
      <c r="AS146" s="69"/>
      <c r="AT146" s="70"/>
      <c r="AU146" s="68"/>
      <c r="AV146" s="69"/>
      <c r="AW146" s="69"/>
      <c r="AX146" s="69"/>
      <c r="AY146" s="69"/>
      <c r="AZ146" s="70"/>
      <c r="BA146" s="71"/>
      <c r="BB146" s="70"/>
      <c r="BC146" s="195">
        <f t="shared" si="4"/>
        <v>5930514</v>
      </c>
    </row>
    <row r="147" spans="1:55" s="1" customFormat="1" ht="16.5" thickBot="1" x14ac:dyDescent="0.3">
      <c r="A147" s="94">
        <v>30</v>
      </c>
      <c r="B147" s="101">
        <v>790072</v>
      </c>
      <c r="C147" s="161" t="s">
        <v>88</v>
      </c>
      <c r="D147" s="77"/>
      <c r="E147" s="55"/>
      <c r="F147" s="55"/>
      <c r="G147" s="55"/>
      <c r="H147" s="55"/>
      <c r="I147" s="55"/>
      <c r="J147" s="55"/>
      <c r="K147" s="55"/>
      <c r="L147" s="55"/>
      <c r="M147" s="55"/>
      <c r="N147" s="55"/>
      <c r="O147" s="55"/>
      <c r="P147" s="55"/>
      <c r="Q147" s="55"/>
      <c r="R147" s="55"/>
      <c r="S147" s="55"/>
      <c r="T147" s="55"/>
      <c r="U147" s="55"/>
      <c r="V147" s="55"/>
      <c r="W147" s="55"/>
      <c r="X147" s="55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60">
        <f t="shared" si="3"/>
        <v>0</v>
      </c>
      <c r="AO147" s="56"/>
      <c r="AP147" s="57"/>
      <c r="AQ147" s="58"/>
      <c r="AR147" s="56"/>
      <c r="AS147" s="57"/>
      <c r="AT147" s="58"/>
      <c r="AU147" s="56"/>
      <c r="AV147" s="57"/>
      <c r="AW147" s="57"/>
      <c r="AX147" s="57"/>
      <c r="AY147" s="57"/>
      <c r="AZ147" s="58"/>
      <c r="BA147" s="59"/>
      <c r="BB147" s="58"/>
      <c r="BC147" s="191">
        <f t="shared" si="4"/>
        <v>0</v>
      </c>
    </row>
    <row r="148" spans="1:55" s="1" customFormat="1" ht="16.5" thickBot="1" x14ac:dyDescent="0.3">
      <c r="A148" s="94">
        <v>31</v>
      </c>
      <c r="B148" s="94">
        <v>790074</v>
      </c>
      <c r="C148" s="24" t="s">
        <v>96</v>
      </c>
      <c r="D148" s="76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7"/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72">
        <f t="shared" si="3"/>
        <v>0</v>
      </c>
      <c r="AO148" s="68"/>
      <c r="AP148" s="69"/>
      <c r="AQ148" s="70"/>
      <c r="AR148" s="68"/>
      <c r="AS148" s="69"/>
      <c r="AT148" s="70"/>
      <c r="AU148" s="68"/>
      <c r="AV148" s="69"/>
      <c r="AW148" s="69"/>
      <c r="AX148" s="69"/>
      <c r="AY148" s="69"/>
      <c r="AZ148" s="70"/>
      <c r="BA148" s="71"/>
      <c r="BB148" s="70"/>
      <c r="BC148" s="195">
        <f t="shared" si="4"/>
        <v>0</v>
      </c>
    </row>
    <row r="149" spans="1:55" s="1" customFormat="1" ht="16.5" thickBot="1" x14ac:dyDescent="0.3">
      <c r="A149" s="94">
        <v>32</v>
      </c>
      <c r="B149" s="94">
        <v>790075</v>
      </c>
      <c r="C149" s="23" t="s">
        <v>99</v>
      </c>
      <c r="D149" s="77"/>
      <c r="E149" s="55"/>
      <c r="F149" s="55"/>
      <c r="G149" s="55"/>
      <c r="H149" s="55"/>
      <c r="I149" s="55"/>
      <c r="J149" s="55"/>
      <c r="K149" s="55"/>
      <c r="L149" s="55"/>
      <c r="M149" s="55"/>
      <c r="N149" s="55"/>
      <c r="O149" s="55"/>
      <c r="P149" s="55"/>
      <c r="Q149" s="55"/>
      <c r="R149" s="55"/>
      <c r="S149" s="55"/>
      <c r="T149" s="55"/>
      <c r="U149" s="55"/>
      <c r="V149" s="55"/>
      <c r="W149" s="55"/>
      <c r="X149" s="55"/>
      <c r="Y149" s="55"/>
      <c r="Z149" s="55"/>
      <c r="AA149" s="55"/>
      <c r="AB149" s="55"/>
      <c r="AC149" s="55"/>
      <c r="AD149" s="55"/>
      <c r="AE149" s="55"/>
      <c r="AF149" s="55"/>
      <c r="AG149" s="55"/>
      <c r="AH149" s="55"/>
      <c r="AI149" s="55"/>
      <c r="AJ149" s="55"/>
      <c r="AK149" s="55"/>
      <c r="AL149" s="55"/>
      <c r="AM149" s="55"/>
      <c r="AN149" s="60">
        <f t="shared" si="3"/>
        <v>0</v>
      </c>
      <c r="AO149" s="56"/>
      <c r="AP149" s="57"/>
      <c r="AQ149" s="58"/>
      <c r="AR149" s="56">
        <f>'среднегодовая на 2025 под факт'!AR149+'инообластные на 2025 под факт'!AR149</f>
        <v>216</v>
      </c>
      <c r="AS149" s="57"/>
      <c r="AT149" s="58">
        <f>'среднегодовая на 2025 под факт'!AT149+'инообластные на 2025 под факт'!AT149</f>
        <v>8858210</v>
      </c>
      <c r="AU149" s="56"/>
      <c r="AV149" s="57"/>
      <c r="AW149" s="57"/>
      <c r="AX149" s="57"/>
      <c r="AY149" s="57"/>
      <c r="AZ149" s="58"/>
      <c r="BA149" s="59"/>
      <c r="BB149" s="58"/>
      <c r="BC149" s="191">
        <f t="shared" si="4"/>
        <v>8858210</v>
      </c>
    </row>
    <row r="150" spans="1:55" s="1" customFormat="1" ht="16.5" thickBot="1" x14ac:dyDescent="0.3">
      <c r="A150" s="243">
        <v>33</v>
      </c>
      <c r="B150" s="239">
        <v>790078</v>
      </c>
      <c r="C150" s="208" t="s">
        <v>102</v>
      </c>
      <c r="D150" s="76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  <c r="P150" s="67"/>
      <c r="Q150" s="67"/>
      <c r="R150" s="67"/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72">
        <f t="shared" si="3"/>
        <v>0</v>
      </c>
      <c r="AO150" s="68"/>
      <c r="AP150" s="69"/>
      <c r="AQ150" s="70"/>
      <c r="AR150" s="68"/>
      <c r="AS150" s="69"/>
      <c r="AT150" s="70"/>
      <c r="AU150" s="68"/>
      <c r="AV150" s="69"/>
      <c r="AW150" s="69"/>
      <c r="AX150" s="69"/>
      <c r="AY150" s="69"/>
      <c r="AZ150" s="70"/>
      <c r="BA150" s="71"/>
      <c r="BB150" s="70"/>
      <c r="BC150" s="195">
        <f t="shared" si="4"/>
        <v>0</v>
      </c>
    </row>
    <row r="151" spans="1:55" s="1" customFormat="1" ht="16.5" thickBot="1" x14ac:dyDescent="0.3">
      <c r="A151" s="101">
        <v>34</v>
      </c>
      <c r="B151" s="94">
        <v>790083</v>
      </c>
      <c r="C151" s="23" t="s">
        <v>125</v>
      </c>
      <c r="D151" s="77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  <c r="AB151" s="55"/>
      <c r="AC151" s="55"/>
      <c r="AD151" s="55"/>
      <c r="AE151" s="55"/>
      <c r="AF151" s="55"/>
      <c r="AG151" s="55"/>
      <c r="AH151" s="55"/>
      <c r="AI151" s="55"/>
      <c r="AJ151" s="55"/>
      <c r="AK151" s="55"/>
      <c r="AL151" s="55"/>
      <c r="AM151" s="55"/>
      <c r="AN151" s="60">
        <f t="shared" si="3"/>
        <v>0</v>
      </c>
      <c r="AO151" s="56"/>
      <c r="AP151" s="57"/>
      <c r="AQ151" s="58"/>
      <c r="AR151" s="56"/>
      <c r="AS151" s="57"/>
      <c r="AT151" s="58"/>
      <c r="AU151" s="56"/>
      <c r="AV151" s="57"/>
      <c r="AW151" s="57"/>
      <c r="AX151" s="57"/>
      <c r="AY151" s="57"/>
      <c r="AZ151" s="58"/>
      <c r="BA151" s="59"/>
      <c r="BB151" s="58"/>
      <c r="BC151" s="191">
        <f t="shared" si="4"/>
        <v>0</v>
      </c>
    </row>
    <row r="152" spans="1:55" s="1" customFormat="1" ht="16.5" thickBot="1" x14ac:dyDescent="0.3">
      <c r="A152" s="246">
        <v>35</v>
      </c>
      <c r="B152" s="248">
        <v>790087</v>
      </c>
      <c r="C152" s="24" t="s">
        <v>117</v>
      </c>
      <c r="D152" s="76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72">
        <f t="shared" si="3"/>
        <v>0</v>
      </c>
      <c r="AO152" s="68"/>
      <c r="AP152" s="69"/>
      <c r="AQ152" s="70"/>
      <c r="AR152" s="68"/>
      <c r="AS152" s="69"/>
      <c r="AT152" s="70"/>
      <c r="AU152" s="68"/>
      <c r="AV152" s="69"/>
      <c r="AW152" s="69"/>
      <c r="AX152" s="69"/>
      <c r="AY152" s="69"/>
      <c r="AZ152" s="70"/>
      <c r="BA152" s="71"/>
      <c r="BB152" s="70"/>
      <c r="BC152" s="195">
        <f>AN152+AQ152+AT152+AW152+BB152+AZ152</f>
        <v>0</v>
      </c>
    </row>
    <row r="153" spans="1:55" s="1" customFormat="1" x14ac:dyDescent="0.25">
      <c r="A153" s="282">
        <v>36</v>
      </c>
      <c r="B153" s="282">
        <v>790090</v>
      </c>
      <c r="C153" s="17" t="s">
        <v>118</v>
      </c>
      <c r="D153" s="73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>
        <f>'среднегодовая на 2025 под факт'!AB153+'инообластные на 2025 под факт'!AB153</f>
        <v>542</v>
      </c>
      <c r="AC153" s="30">
        <f>'среднегодовая на 2025 под факт'!AC153+'инообластные на 2025 под факт'!AC153</f>
        <v>3364466</v>
      </c>
      <c r="AD153" s="30"/>
      <c r="AE153" s="30"/>
      <c r="AF153" s="30">
        <f>'среднегодовая на 2025 под факт'!AF153+'инообластные на 2025 под факт'!AF153</f>
        <v>265</v>
      </c>
      <c r="AG153" s="30">
        <f>'среднегодовая на 2025 под факт'!AG153+'инообластные на 2025 под факт'!AG153</f>
        <v>479872</v>
      </c>
      <c r="AH153" s="30">
        <f>'среднегодовая на 2025 под факт'!AH153+'инообластные на 2025 под факт'!AH153</f>
        <v>278</v>
      </c>
      <c r="AI153" s="30">
        <f>'среднегодовая на 2025 под факт'!AI153+'инообластные на 2025 под факт'!AI153</f>
        <v>898170</v>
      </c>
      <c r="AJ153" s="30"/>
      <c r="AK153" s="30"/>
      <c r="AL153" s="30"/>
      <c r="AM153" s="30"/>
      <c r="AN153" s="49">
        <f t="shared" si="3"/>
        <v>4742508</v>
      </c>
      <c r="AO153" s="39"/>
      <c r="AP153" s="31"/>
      <c r="AQ153" s="40"/>
      <c r="AR153" s="39"/>
      <c r="AS153" s="31"/>
      <c r="AT153" s="40"/>
      <c r="AU153" s="39"/>
      <c r="AV153" s="31"/>
      <c r="AW153" s="31"/>
      <c r="AX153" s="31"/>
      <c r="AY153" s="31"/>
      <c r="AZ153" s="40"/>
      <c r="BA153" s="35"/>
      <c r="BB153" s="40"/>
      <c r="BC153" s="186">
        <f t="shared" ref="BC153:BC158" si="5">AN153+AQ153+AT153+AW153+BB153+AZ153</f>
        <v>4742508</v>
      </c>
    </row>
    <row r="154" spans="1:55" s="1" customFormat="1" ht="32.25" thickBot="1" x14ac:dyDescent="0.3">
      <c r="A154" s="284"/>
      <c r="B154" s="284"/>
      <c r="C154" s="22" t="s">
        <v>177</v>
      </c>
      <c r="D154" s="54">
        <f>'среднегодовая на 2025 под факт'!D154+'инообластные на 2025 под факт'!D154</f>
        <v>764</v>
      </c>
      <c r="E154" s="32">
        <f>'среднегодовая на 2025 под факт'!E154+'инообластные на 2025 под факт'!E154</f>
        <v>745673</v>
      </c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51">
        <f t="shared" ref="AN154:AN158" si="6">E154+G154+M154+O154+Q154+S154+AA154+AC154+AE154+AG154+AI154+AK154+AM154+I154+K154+U154+W154</f>
        <v>745673</v>
      </c>
      <c r="AO154" s="45"/>
      <c r="AP154" s="33"/>
      <c r="AQ154" s="46"/>
      <c r="AR154" s="45"/>
      <c r="AS154" s="33"/>
      <c r="AT154" s="46"/>
      <c r="AU154" s="45"/>
      <c r="AV154" s="33"/>
      <c r="AW154" s="33"/>
      <c r="AX154" s="33"/>
      <c r="AY154" s="33"/>
      <c r="AZ154" s="46"/>
      <c r="BA154" s="37"/>
      <c r="BB154" s="46"/>
      <c r="BC154" s="202">
        <f t="shared" si="5"/>
        <v>745673</v>
      </c>
    </row>
    <row r="155" spans="1:55" s="1" customFormat="1" ht="16.5" thickBot="1" x14ac:dyDescent="0.3">
      <c r="A155" s="245">
        <v>37</v>
      </c>
      <c r="B155" s="247">
        <v>790093</v>
      </c>
      <c r="C155" s="24" t="s">
        <v>127</v>
      </c>
      <c r="D155" s="76"/>
      <c r="E155" s="67"/>
      <c r="F155" s="67"/>
      <c r="G155" s="67"/>
      <c r="H155" s="67"/>
      <c r="I155" s="67"/>
      <c r="J155" s="67"/>
      <c r="K155" s="67"/>
      <c r="L155" s="67"/>
      <c r="M155" s="67"/>
      <c r="N155" s="67"/>
      <c r="O155" s="67"/>
      <c r="P155" s="67"/>
      <c r="Q155" s="67"/>
      <c r="R155" s="67"/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72">
        <f t="shared" si="6"/>
        <v>0</v>
      </c>
      <c r="AO155" s="68"/>
      <c r="AP155" s="69"/>
      <c r="AQ155" s="70"/>
      <c r="AR155" s="68"/>
      <c r="AS155" s="69"/>
      <c r="AT155" s="70"/>
      <c r="AU155" s="68"/>
      <c r="AV155" s="69"/>
      <c r="AW155" s="69"/>
      <c r="AX155" s="69"/>
      <c r="AY155" s="69"/>
      <c r="AZ155" s="70"/>
      <c r="BA155" s="71"/>
      <c r="BB155" s="70"/>
      <c r="BC155" s="195">
        <f t="shared" si="5"/>
        <v>0</v>
      </c>
    </row>
    <row r="156" spans="1:55" s="1" customFormat="1" ht="16.5" thickBot="1" x14ac:dyDescent="0.3">
      <c r="A156" s="165">
        <v>38</v>
      </c>
      <c r="B156" s="166">
        <v>790094</v>
      </c>
      <c r="C156" s="180" t="s">
        <v>172</v>
      </c>
      <c r="D156" s="77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60">
        <f t="shared" si="6"/>
        <v>0</v>
      </c>
      <c r="AO156" s="56"/>
      <c r="AP156" s="57"/>
      <c r="AQ156" s="58"/>
      <c r="AR156" s="56"/>
      <c r="AS156" s="57"/>
      <c r="AT156" s="58"/>
      <c r="AU156" s="56"/>
      <c r="AV156" s="57"/>
      <c r="AW156" s="57"/>
      <c r="AX156" s="57"/>
      <c r="AY156" s="57"/>
      <c r="AZ156" s="58"/>
      <c r="BA156" s="59"/>
      <c r="BB156" s="58"/>
      <c r="BC156" s="191">
        <f t="shared" si="5"/>
        <v>0</v>
      </c>
    </row>
    <row r="157" spans="1:55" s="1" customFormat="1" ht="16.5" thickBot="1" x14ac:dyDescent="0.3">
      <c r="A157" s="246">
        <v>39</v>
      </c>
      <c r="B157" s="248">
        <v>790095</v>
      </c>
      <c r="C157" s="181" t="s">
        <v>173</v>
      </c>
      <c r="D157" s="76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  <c r="P157" s="67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72">
        <f t="shared" si="6"/>
        <v>0</v>
      </c>
      <c r="AO157" s="68"/>
      <c r="AP157" s="69"/>
      <c r="AQ157" s="70"/>
      <c r="AR157" s="68"/>
      <c r="AS157" s="69"/>
      <c r="AT157" s="70"/>
      <c r="AU157" s="68"/>
      <c r="AV157" s="69"/>
      <c r="AW157" s="69"/>
      <c r="AX157" s="69"/>
      <c r="AY157" s="69"/>
      <c r="AZ157" s="70"/>
      <c r="BA157" s="71"/>
      <c r="BB157" s="70"/>
      <c r="BC157" s="195">
        <f t="shared" si="5"/>
        <v>0</v>
      </c>
    </row>
    <row r="158" spans="1:55" s="1" customFormat="1" ht="16.5" thickBot="1" x14ac:dyDescent="0.3">
      <c r="A158" s="165">
        <v>40</v>
      </c>
      <c r="B158" s="166">
        <v>790096</v>
      </c>
      <c r="C158" s="23" t="s">
        <v>174</v>
      </c>
      <c r="D158" s="77"/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  <c r="AG158" s="55"/>
      <c r="AH158" s="55"/>
      <c r="AI158" s="55"/>
      <c r="AJ158" s="55"/>
      <c r="AK158" s="55"/>
      <c r="AL158" s="55"/>
      <c r="AM158" s="55"/>
      <c r="AN158" s="60">
        <f t="shared" si="6"/>
        <v>0</v>
      </c>
      <c r="AO158" s="56"/>
      <c r="AP158" s="57"/>
      <c r="AQ158" s="58"/>
      <c r="AR158" s="56"/>
      <c r="AS158" s="57"/>
      <c r="AT158" s="58"/>
      <c r="AU158" s="56"/>
      <c r="AV158" s="57"/>
      <c r="AW158" s="57"/>
      <c r="AX158" s="57"/>
      <c r="AY158" s="57"/>
      <c r="AZ158" s="58"/>
      <c r="BA158" s="59"/>
      <c r="BB158" s="58"/>
      <c r="BC158" s="191">
        <f t="shared" si="5"/>
        <v>0</v>
      </c>
    </row>
    <row r="159" spans="1:55" s="1" customFormat="1" ht="16.5" thickBot="1" x14ac:dyDescent="0.3">
      <c r="A159" s="16"/>
      <c r="B159" s="153"/>
      <c r="C159" s="132" t="s">
        <v>5</v>
      </c>
      <c r="D159" s="11">
        <f t="shared" ref="D159:AN159" si="7">SUM(D5:D158)</f>
        <v>484079</v>
      </c>
      <c r="E159" s="9">
        <f>SUM(E5:E158)</f>
        <v>432474872.29055816</v>
      </c>
      <c r="F159" s="9">
        <f t="shared" si="7"/>
        <v>88270</v>
      </c>
      <c r="G159" s="9">
        <f t="shared" si="7"/>
        <v>242627079.86710733</v>
      </c>
      <c r="H159" s="9">
        <f t="shared" si="7"/>
        <v>59697</v>
      </c>
      <c r="I159" s="9">
        <f t="shared" si="7"/>
        <v>60850060.19842042</v>
      </c>
      <c r="J159" s="9">
        <f t="shared" si="7"/>
        <v>7732</v>
      </c>
      <c r="K159" s="9">
        <f t="shared" si="7"/>
        <v>28524704.643914036</v>
      </c>
      <c r="L159" s="9">
        <f t="shared" si="7"/>
        <v>2374</v>
      </c>
      <c r="M159" s="9">
        <f t="shared" si="7"/>
        <v>5623019</v>
      </c>
      <c r="N159" s="9">
        <f t="shared" si="7"/>
        <v>1484</v>
      </c>
      <c r="O159" s="9">
        <f t="shared" si="7"/>
        <v>8341618</v>
      </c>
      <c r="P159" s="9">
        <f t="shared" si="7"/>
        <v>1152</v>
      </c>
      <c r="Q159" s="9">
        <f t="shared" si="7"/>
        <v>2378836</v>
      </c>
      <c r="R159" s="9">
        <f t="shared" si="7"/>
        <v>2064</v>
      </c>
      <c r="S159" s="9">
        <f t="shared" si="7"/>
        <v>9719590</v>
      </c>
      <c r="T159" s="9">
        <f t="shared" si="7"/>
        <v>1252</v>
      </c>
      <c r="U159" s="9">
        <f t="shared" si="7"/>
        <v>2486301</v>
      </c>
      <c r="V159" s="9">
        <f t="shared" si="7"/>
        <v>335</v>
      </c>
      <c r="W159" s="9">
        <f t="shared" si="7"/>
        <v>626365</v>
      </c>
      <c r="X159" s="9">
        <f t="shared" si="7"/>
        <v>38727</v>
      </c>
      <c r="Y159" s="9">
        <f t="shared" si="7"/>
        <v>8233</v>
      </c>
      <c r="Z159" s="9">
        <f t="shared" si="7"/>
        <v>996</v>
      </c>
      <c r="AA159" s="9">
        <f t="shared" si="7"/>
        <v>131388071</v>
      </c>
      <c r="AB159" s="9">
        <f t="shared" si="7"/>
        <v>15442</v>
      </c>
      <c r="AC159" s="9">
        <f t="shared" si="7"/>
        <v>86499664</v>
      </c>
      <c r="AD159" s="9">
        <f t="shared" si="7"/>
        <v>3165</v>
      </c>
      <c r="AE159" s="9">
        <f t="shared" si="7"/>
        <v>6968686</v>
      </c>
      <c r="AF159" s="9">
        <f t="shared" si="7"/>
        <v>7656</v>
      </c>
      <c r="AG159" s="9">
        <f t="shared" si="7"/>
        <v>9765847</v>
      </c>
      <c r="AH159" s="9">
        <f t="shared" si="7"/>
        <v>34257</v>
      </c>
      <c r="AI159" s="9">
        <f t="shared" si="7"/>
        <v>119476221</v>
      </c>
      <c r="AJ159" s="9">
        <f t="shared" si="7"/>
        <v>92129</v>
      </c>
      <c r="AK159" s="9">
        <f t="shared" si="7"/>
        <v>136716536</v>
      </c>
      <c r="AL159" s="9">
        <f t="shared" si="7"/>
        <v>142326</v>
      </c>
      <c r="AM159" s="9">
        <f t="shared" si="7"/>
        <v>164319508</v>
      </c>
      <c r="AN159" s="14">
        <f t="shared" si="7"/>
        <v>1448786979</v>
      </c>
      <c r="AO159" s="11">
        <f>SUM(AO5:AO158)-AO6-AO7-AO8-AO115-AO122-AO133-AO13-AO14-AO66-AO67-AO78</f>
        <v>24505</v>
      </c>
      <c r="AP159" s="9">
        <f>SUM(AP5:AP158)-AP6-AP7-AP8-AP115-AP122</f>
        <v>1226</v>
      </c>
      <c r="AQ159" s="10">
        <f>SUM(AQ5:AQ158)-AQ6-AQ7-AQ8-AQ115-AQ122-AQ133-AQ13-AQ14-AQ66-AQ67-AQ78</f>
        <v>2651713573</v>
      </c>
      <c r="AR159" s="15">
        <f>SUM(AR5:AR158)-AR6-AR7-AR8-AR115-AR122</f>
        <v>9216</v>
      </c>
      <c r="AS159" s="9">
        <f>SUM(AS5:AS158)-AS6-AS7-AS8-AS115-AS122</f>
        <v>797</v>
      </c>
      <c r="AT159" s="14">
        <f>SUM(AT5:AT158)-AT6-AT7-AT8-AT115-AT122</f>
        <v>495447768</v>
      </c>
      <c r="AU159" s="11">
        <f t="shared" ref="AU159:BB159" si="8">SUM(AU5:AU158)</f>
        <v>111878</v>
      </c>
      <c r="AV159" s="9">
        <f t="shared" si="8"/>
        <v>694857</v>
      </c>
      <c r="AW159" s="9">
        <f t="shared" si="8"/>
        <v>164998634</v>
      </c>
      <c r="AX159" s="9">
        <f t="shared" si="8"/>
        <v>1328</v>
      </c>
      <c r="AY159" s="9">
        <f t="shared" si="8"/>
        <v>39584</v>
      </c>
      <c r="AZ159" s="10">
        <f t="shared" si="8"/>
        <v>12199148</v>
      </c>
      <c r="BA159" s="15">
        <f>SUM(BA5:BA158)</f>
        <v>33098</v>
      </c>
      <c r="BB159" s="10">
        <f t="shared" si="8"/>
        <v>307601642</v>
      </c>
      <c r="BC159" s="202">
        <f>SUM(BC5:BC158)-BC6-BC7-BC8-BC115-BC122-BC133-BC13-BC14-BC66-BC67-BC78</f>
        <v>5080747744</v>
      </c>
    </row>
    <row r="163" spans="1:54" x14ac:dyDescent="0.25">
      <c r="A163" s="7"/>
      <c r="B163" s="7"/>
      <c r="BB163" s="7"/>
    </row>
    <row r="164" spans="1:54" x14ac:dyDescent="0.25">
      <c r="A164" s="7"/>
      <c r="B164" s="7"/>
      <c r="BB164" s="7"/>
    </row>
    <row r="165" spans="1:54" x14ac:dyDescent="0.25">
      <c r="A165" s="7"/>
      <c r="B165" s="7"/>
      <c r="BB165" s="7"/>
    </row>
    <row r="166" spans="1:54" x14ac:dyDescent="0.25">
      <c r="A166" s="7"/>
      <c r="B166" s="7"/>
      <c r="BB166" s="7"/>
    </row>
    <row r="167" spans="1:54" x14ac:dyDescent="0.25">
      <c r="A167" s="7"/>
      <c r="B167" s="7"/>
      <c r="BB167" s="7"/>
    </row>
    <row r="168" spans="1:54" x14ac:dyDescent="0.25">
      <c r="A168" s="7"/>
      <c r="B168" s="7"/>
      <c r="BB168" s="7"/>
    </row>
    <row r="169" spans="1:54" x14ac:dyDescent="0.25">
      <c r="A169" s="7"/>
      <c r="B169" s="7"/>
      <c r="BB169" s="7"/>
    </row>
    <row r="170" spans="1:54" x14ac:dyDescent="0.25">
      <c r="A170" s="7"/>
      <c r="B170" s="7"/>
      <c r="BB170" s="7"/>
    </row>
    <row r="171" spans="1:54" x14ac:dyDescent="0.25">
      <c r="A171" s="7"/>
      <c r="B171" s="7"/>
      <c r="BB171" s="7"/>
    </row>
    <row r="172" spans="1:54" x14ac:dyDescent="0.25">
      <c r="A172" s="7"/>
      <c r="B172" s="7"/>
      <c r="BB172" s="7"/>
    </row>
    <row r="173" spans="1:54" x14ac:dyDescent="0.25">
      <c r="A173" s="7"/>
      <c r="B173" s="7"/>
      <c r="BB173" s="7"/>
    </row>
    <row r="174" spans="1:54" x14ac:dyDescent="0.25">
      <c r="A174" s="7"/>
      <c r="B174" s="7"/>
      <c r="BB174" s="7"/>
    </row>
    <row r="175" spans="1:54" x14ac:dyDescent="0.25">
      <c r="A175" s="7"/>
      <c r="B175" s="7"/>
      <c r="BB175" s="7"/>
    </row>
    <row r="176" spans="1:54" x14ac:dyDescent="0.25">
      <c r="A176" s="7"/>
      <c r="B176" s="7"/>
      <c r="BB176" s="7"/>
    </row>
    <row r="177" spans="1:54" x14ac:dyDescent="0.25">
      <c r="A177" s="7"/>
      <c r="B177" s="7"/>
      <c r="BB177" s="7"/>
    </row>
    <row r="178" spans="1:54" x14ac:dyDescent="0.25">
      <c r="A178" s="7"/>
      <c r="B178" s="7"/>
      <c r="BB178" s="7"/>
    </row>
    <row r="179" spans="1:54" x14ac:dyDescent="0.25">
      <c r="A179" s="7"/>
      <c r="B179" s="7"/>
      <c r="BB179" s="7"/>
    </row>
    <row r="180" spans="1:54" x14ac:dyDescent="0.25">
      <c r="A180" s="7"/>
      <c r="B180" s="7"/>
      <c r="BB180" s="7"/>
    </row>
    <row r="181" spans="1:54" x14ac:dyDescent="0.25">
      <c r="A181" s="7"/>
      <c r="B181" s="7"/>
      <c r="BB181" s="7"/>
    </row>
    <row r="182" spans="1:54" x14ac:dyDescent="0.25">
      <c r="A182" s="7"/>
      <c r="B182" s="7"/>
      <c r="BB182" s="7"/>
    </row>
    <row r="183" spans="1:54" x14ac:dyDescent="0.25">
      <c r="A183" s="7"/>
      <c r="B183" s="7"/>
      <c r="BB183" s="7"/>
    </row>
    <row r="184" spans="1:54" x14ac:dyDescent="0.25">
      <c r="A184" s="7"/>
      <c r="B184" s="7"/>
      <c r="BB184" s="7"/>
    </row>
    <row r="185" spans="1:54" x14ac:dyDescent="0.25">
      <c r="A185" s="7"/>
      <c r="B185" s="7"/>
      <c r="BB185" s="7"/>
    </row>
    <row r="186" spans="1:54" x14ac:dyDescent="0.25">
      <c r="A186" s="7"/>
      <c r="B186" s="7"/>
      <c r="BB186" s="7"/>
    </row>
    <row r="187" spans="1:54" x14ac:dyDescent="0.25">
      <c r="A187" s="7"/>
      <c r="B187" s="7"/>
      <c r="BB187" s="7"/>
    </row>
    <row r="188" spans="1:54" x14ac:dyDescent="0.25">
      <c r="A188" s="7"/>
      <c r="B188" s="7"/>
      <c r="BB188" s="7"/>
    </row>
    <row r="189" spans="1:54" x14ac:dyDescent="0.25">
      <c r="A189" s="7"/>
      <c r="B189" s="7"/>
      <c r="BB189" s="7"/>
    </row>
    <row r="190" spans="1:54" x14ac:dyDescent="0.25">
      <c r="A190" s="7"/>
      <c r="B190" s="7"/>
      <c r="BB190" s="7"/>
    </row>
    <row r="191" spans="1:54" x14ac:dyDescent="0.25">
      <c r="A191" s="7"/>
      <c r="B191" s="7"/>
      <c r="BB191" s="7"/>
    </row>
    <row r="192" spans="1:54" x14ac:dyDescent="0.25">
      <c r="A192" s="7"/>
      <c r="B192" s="7"/>
      <c r="BB192" s="7"/>
    </row>
    <row r="193" spans="1:54" x14ac:dyDescent="0.25">
      <c r="A193" s="7"/>
      <c r="B193" s="7"/>
      <c r="BB193" s="7"/>
    </row>
    <row r="194" spans="1:54" x14ac:dyDescent="0.25">
      <c r="A194" s="7"/>
      <c r="B194" s="7"/>
      <c r="BB194" s="7"/>
    </row>
    <row r="195" spans="1:54" x14ac:dyDescent="0.25">
      <c r="A195" s="7"/>
      <c r="B195" s="7"/>
      <c r="BB195" s="7"/>
    </row>
    <row r="196" spans="1:54" x14ac:dyDescent="0.25">
      <c r="A196" s="7"/>
      <c r="B196" s="7"/>
      <c r="BB196" s="7"/>
    </row>
    <row r="197" spans="1:54" x14ac:dyDescent="0.25">
      <c r="A197" s="7"/>
      <c r="B197" s="7"/>
      <c r="BB197" s="7"/>
    </row>
    <row r="198" spans="1:54" x14ac:dyDescent="0.25">
      <c r="A198" s="7"/>
      <c r="B198" s="7"/>
      <c r="BB198" s="7"/>
    </row>
    <row r="199" spans="1:54" x14ac:dyDescent="0.25">
      <c r="A199" s="7"/>
      <c r="B199" s="7"/>
      <c r="BB199" s="7"/>
    </row>
    <row r="200" spans="1:54" x14ac:dyDescent="0.25">
      <c r="A200" s="7"/>
      <c r="B200" s="7"/>
      <c r="BB200" s="7"/>
    </row>
    <row r="201" spans="1:54" x14ac:dyDescent="0.25">
      <c r="A201" s="7"/>
      <c r="B201" s="7"/>
      <c r="BB201" s="7"/>
    </row>
    <row r="202" spans="1:54" x14ac:dyDescent="0.25">
      <c r="A202" s="7"/>
      <c r="B202" s="7"/>
      <c r="BB202" s="7"/>
    </row>
    <row r="203" spans="1:54" x14ac:dyDescent="0.25">
      <c r="A203" s="7"/>
      <c r="B203" s="7"/>
      <c r="BB203" s="7"/>
    </row>
    <row r="204" spans="1:54" x14ac:dyDescent="0.25">
      <c r="A204" s="7"/>
      <c r="B204" s="7"/>
      <c r="BB204" s="7"/>
    </row>
    <row r="205" spans="1:54" x14ac:dyDescent="0.25">
      <c r="A205" s="7"/>
      <c r="B205" s="7"/>
      <c r="BB205" s="7"/>
    </row>
    <row r="208" spans="1:54" x14ac:dyDescent="0.25">
      <c r="A208" s="7"/>
      <c r="B208" s="7"/>
      <c r="BB208" s="7"/>
    </row>
    <row r="209" spans="1:54" x14ac:dyDescent="0.25">
      <c r="A209" s="7"/>
      <c r="B209" s="7"/>
      <c r="BB209" s="7"/>
    </row>
    <row r="210" spans="1:54" x14ac:dyDescent="0.25">
      <c r="A210" s="7"/>
      <c r="B210" s="7"/>
      <c r="BB210" s="7"/>
    </row>
    <row r="211" spans="1:54" x14ac:dyDescent="0.25">
      <c r="A211" s="7"/>
      <c r="B211" s="7"/>
      <c r="BB211" s="7"/>
    </row>
    <row r="212" spans="1:54" x14ac:dyDescent="0.25">
      <c r="A212" s="7"/>
      <c r="B212" s="7"/>
      <c r="BB212" s="7"/>
    </row>
    <row r="213" spans="1:54" x14ac:dyDescent="0.25">
      <c r="A213" s="7"/>
      <c r="B213" s="7"/>
      <c r="BB213" s="7"/>
    </row>
    <row r="214" spans="1:54" x14ac:dyDescent="0.25">
      <c r="A214" s="7"/>
      <c r="B214" s="7"/>
      <c r="BB214" s="7"/>
    </row>
    <row r="215" spans="1:54" x14ac:dyDescent="0.25">
      <c r="A215" s="7"/>
      <c r="B215" s="7"/>
      <c r="BB215" s="7"/>
    </row>
    <row r="216" spans="1:54" x14ac:dyDescent="0.25">
      <c r="A216" s="7"/>
      <c r="B216" s="7"/>
      <c r="BB216" s="7"/>
    </row>
    <row r="217" spans="1:54" x14ac:dyDescent="0.25">
      <c r="A217" s="7"/>
      <c r="B217" s="7"/>
      <c r="BB217" s="7"/>
    </row>
    <row r="218" spans="1:54" x14ac:dyDescent="0.25">
      <c r="A218" s="7"/>
      <c r="B218" s="7"/>
      <c r="BB218" s="7"/>
    </row>
    <row r="219" spans="1:54" x14ac:dyDescent="0.25">
      <c r="A219" s="7"/>
      <c r="B219" s="7"/>
      <c r="BB219" s="7"/>
    </row>
    <row r="220" spans="1:54" x14ac:dyDescent="0.25">
      <c r="A220" s="7"/>
      <c r="B220" s="7"/>
      <c r="BB220" s="7"/>
    </row>
    <row r="221" spans="1:54" x14ac:dyDescent="0.25">
      <c r="A221" s="7"/>
      <c r="B221" s="7"/>
      <c r="BB221" s="7"/>
    </row>
    <row r="222" spans="1:54" x14ac:dyDescent="0.25">
      <c r="A222" s="7"/>
      <c r="B222" s="7"/>
      <c r="BB222" s="7"/>
    </row>
    <row r="223" spans="1:54" x14ac:dyDescent="0.25">
      <c r="A223" s="7"/>
      <c r="B223" s="7"/>
      <c r="BB223" s="7"/>
    </row>
    <row r="224" spans="1:54" x14ac:dyDescent="0.25">
      <c r="A224" s="7"/>
      <c r="B224" s="7"/>
      <c r="BB224" s="7"/>
    </row>
    <row r="225" spans="1:54" x14ac:dyDescent="0.25">
      <c r="A225" s="7"/>
      <c r="B225" s="7"/>
      <c r="BB225" s="7"/>
    </row>
    <row r="226" spans="1:54" x14ac:dyDescent="0.25">
      <c r="A226" s="7"/>
      <c r="B226" s="7"/>
      <c r="BB226" s="7"/>
    </row>
    <row r="227" spans="1:54" x14ac:dyDescent="0.25">
      <c r="A227" s="7"/>
      <c r="B227" s="7"/>
      <c r="BB227" s="7"/>
    </row>
    <row r="228" spans="1:54" x14ac:dyDescent="0.25">
      <c r="A228" s="7"/>
      <c r="B228" s="7"/>
      <c r="BB228" s="7"/>
    </row>
    <row r="229" spans="1:54" x14ac:dyDescent="0.25">
      <c r="A229" s="7"/>
      <c r="B229" s="7"/>
      <c r="BB229" s="7"/>
    </row>
    <row r="230" spans="1:54" x14ac:dyDescent="0.25">
      <c r="A230" s="7"/>
      <c r="B230" s="7"/>
      <c r="BB230" s="7"/>
    </row>
    <row r="231" spans="1:54" x14ac:dyDescent="0.25">
      <c r="A231" s="7"/>
      <c r="B231" s="7"/>
      <c r="BB231" s="7"/>
    </row>
    <row r="232" spans="1:54" x14ac:dyDescent="0.25">
      <c r="A232" s="7"/>
      <c r="B232" s="7"/>
      <c r="BB232" s="7"/>
    </row>
    <row r="233" spans="1:54" x14ac:dyDescent="0.25">
      <c r="A233" s="7"/>
      <c r="B233" s="7"/>
      <c r="BB233" s="7"/>
    </row>
    <row r="234" spans="1:54" x14ac:dyDescent="0.25">
      <c r="A234" s="7"/>
      <c r="B234" s="7"/>
      <c r="BB234" s="7"/>
    </row>
    <row r="235" spans="1:54" x14ac:dyDescent="0.25">
      <c r="A235" s="7"/>
      <c r="B235" s="7"/>
      <c r="BB235" s="7"/>
    </row>
    <row r="236" spans="1:54" x14ac:dyDescent="0.25">
      <c r="A236" s="7"/>
      <c r="B236" s="7"/>
      <c r="BB236" s="7"/>
    </row>
    <row r="237" spans="1:54" x14ac:dyDescent="0.25">
      <c r="A237" s="7"/>
      <c r="B237" s="7"/>
      <c r="BB237" s="7"/>
    </row>
  </sheetData>
  <mergeCells count="46">
    <mergeCell ref="A1:BC1"/>
    <mergeCell ref="A2:A3"/>
    <mergeCell ref="B2:B3"/>
    <mergeCell ref="C2:C3"/>
    <mergeCell ref="D2:AN2"/>
    <mergeCell ref="AO2:AQ2"/>
    <mergeCell ref="AR2:AT2"/>
    <mergeCell ref="AU2:AZ2"/>
    <mergeCell ref="BA2:BB2"/>
    <mergeCell ref="BC2:BC3"/>
    <mergeCell ref="A5:A28"/>
    <mergeCell ref="B5:B28"/>
    <mergeCell ref="A29:A36"/>
    <mergeCell ref="B29:B36"/>
    <mergeCell ref="A38:A40"/>
    <mergeCell ref="B38:B40"/>
    <mergeCell ref="A41:A42"/>
    <mergeCell ref="B41:B42"/>
    <mergeCell ref="A43:A48"/>
    <mergeCell ref="B43:B48"/>
    <mergeCell ref="A49:A55"/>
    <mergeCell ref="B49:B55"/>
    <mergeCell ref="A56:A64"/>
    <mergeCell ref="B56:B64"/>
    <mergeCell ref="A65:A76"/>
    <mergeCell ref="B65:B76"/>
    <mergeCell ref="A77:A88"/>
    <mergeCell ref="B77:B88"/>
    <mergeCell ref="A89:A101"/>
    <mergeCell ref="B89:B101"/>
    <mergeCell ref="A102:A112"/>
    <mergeCell ref="B102:B112"/>
    <mergeCell ref="A114:A122"/>
    <mergeCell ref="B114:B122"/>
    <mergeCell ref="A124:A125"/>
    <mergeCell ref="B124:B125"/>
    <mergeCell ref="A127:A129"/>
    <mergeCell ref="B127:B129"/>
    <mergeCell ref="A131:A135"/>
    <mergeCell ref="B131:B134"/>
    <mergeCell ref="A138:A139"/>
    <mergeCell ref="B138:B139"/>
    <mergeCell ref="A140:A141"/>
    <mergeCell ref="B140:B141"/>
    <mergeCell ref="A153:A154"/>
    <mergeCell ref="B153:B1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среднегодовая на 2025 под факт</vt:lpstr>
      <vt:lpstr>инообластные на 2025 под факт</vt:lpstr>
      <vt:lpstr>сред-я с инообл. с 01.12.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2025-10-21T23:33:18Z</cp:lastPrinted>
  <dcterms:created xsi:type="dcterms:W3CDTF">2014-02-21T00:13:22Z</dcterms:created>
  <dcterms:modified xsi:type="dcterms:W3CDTF">2026-01-21T01:21:27Z</dcterms:modified>
</cp:coreProperties>
</file>